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iigra-my.sharepoint.com/personal/alasso_siigra_com_mx/Documents/SiiGRA_Varios/SiiGRA/Sistema SiiGRA/CursoSistema/Curso202609/Material/"/>
    </mc:Choice>
  </mc:AlternateContent>
  <xr:revisionPtr revIDLastSave="10" documentId="8_{FA89838D-8E7A-44C5-8208-CC884BEA45CA}" xr6:coauthVersionLast="47" xr6:coauthVersionMax="47" xr10:uidLastSave="{E275CCF5-775A-4CBA-821A-89F826E54685}"/>
  <bookViews>
    <workbookView xWindow="25080" yWindow="-120" windowWidth="29040" windowHeight="15720" activeTab="3" xr2:uid="{00000000-000D-0000-FFFF-FFFF00000000}"/>
  </bookViews>
  <sheets>
    <sheet name="Instrucciones" sheetId="1" r:id="rId1"/>
    <sheet name="Parametros" sheetId="2" r:id="rId2"/>
    <sheet name="Catalogo_Productos" sheetId="3" r:id="rId3"/>
    <sheet name="Cotizador" sheetId="4" r:id="rId4"/>
    <sheet name="Resumen" sheetId="5" r:id="rId5"/>
  </sheets>
  <definedNames>
    <definedName name="_xlnm._FilterDatabase" localSheetId="3" hidden="1">Cotizador!$A$6:$AC$26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H23" i="5"/>
  <c r="B23" i="5"/>
  <c r="H15" i="5"/>
  <c r="B7" i="5"/>
  <c r="H4" i="5"/>
  <c r="E4" i="5"/>
  <c r="B4" i="5"/>
  <c r="AB26" i="4"/>
  <c r="W26" i="4"/>
  <c r="V26" i="4"/>
  <c r="M26" i="4"/>
  <c r="Q26" i="4" s="1"/>
  <c r="L26" i="4"/>
  <c r="P26" i="4" s="1"/>
  <c r="K26" i="4"/>
  <c r="O26" i="4" s="1"/>
  <c r="H26" i="4"/>
  <c r="I26" i="4" s="1"/>
  <c r="G26" i="4"/>
  <c r="F26" i="4"/>
  <c r="AB25" i="4"/>
  <c r="W25" i="4"/>
  <c r="V25" i="4"/>
  <c r="M25" i="4"/>
  <c r="Q25" i="4" s="1"/>
  <c r="L25" i="4"/>
  <c r="P25" i="4" s="1"/>
  <c r="K25" i="4"/>
  <c r="O25" i="4" s="1"/>
  <c r="H25" i="4"/>
  <c r="I25" i="4" s="1"/>
  <c r="G25" i="4"/>
  <c r="F25" i="4"/>
  <c r="AB24" i="4"/>
  <c r="W24" i="4"/>
  <c r="V24" i="4"/>
  <c r="M24" i="4"/>
  <c r="Q24" i="4" s="1"/>
  <c r="L24" i="4"/>
  <c r="P24" i="4" s="1"/>
  <c r="K24" i="4"/>
  <c r="O24" i="4" s="1"/>
  <c r="H24" i="4"/>
  <c r="I24" i="4" s="1"/>
  <c r="G24" i="4"/>
  <c r="F24" i="4"/>
  <c r="AB23" i="4"/>
  <c r="W23" i="4"/>
  <c r="V23" i="4"/>
  <c r="M23" i="4"/>
  <c r="Q23" i="4" s="1"/>
  <c r="L23" i="4"/>
  <c r="P23" i="4" s="1"/>
  <c r="K23" i="4"/>
  <c r="O23" i="4" s="1"/>
  <c r="H23" i="4"/>
  <c r="I23" i="4" s="1"/>
  <c r="G23" i="4"/>
  <c r="F23" i="4"/>
  <c r="AB22" i="4"/>
  <c r="W22" i="4"/>
  <c r="V22" i="4"/>
  <c r="M22" i="4"/>
  <c r="Q22" i="4" s="1"/>
  <c r="L22" i="4"/>
  <c r="P22" i="4" s="1"/>
  <c r="K22" i="4"/>
  <c r="O22" i="4" s="1"/>
  <c r="H22" i="4"/>
  <c r="I22" i="4" s="1"/>
  <c r="G22" i="4"/>
  <c r="F22" i="4"/>
  <c r="AB21" i="4"/>
  <c r="W21" i="4"/>
  <c r="V21" i="4"/>
  <c r="M21" i="4"/>
  <c r="Q21" i="4" s="1"/>
  <c r="L21" i="4"/>
  <c r="P21" i="4" s="1"/>
  <c r="K21" i="4"/>
  <c r="O21" i="4" s="1"/>
  <c r="H21" i="4"/>
  <c r="I21" i="4" s="1"/>
  <c r="G21" i="4"/>
  <c r="F21" i="4"/>
  <c r="AB20" i="4"/>
  <c r="W20" i="4"/>
  <c r="V20" i="4"/>
  <c r="M20" i="4"/>
  <c r="Q20" i="4" s="1"/>
  <c r="L20" i="4"/>
  <c r="P20" i="4" s="1"/>
  <c r="K20" i="4"/>
  <c r="O20" i="4" s="1"/>
  <c r="H20" i="4"/>
  <c r="I20" i="4" s="1"/>
  <c r="G20" i="4"/>
  <c r="F20" i="4"/>
  <c r="AB19" i="4"/>
  <c r="W19" i="4"/>
  <c r="V19" i="4"/>
  <c r="M19" i="4"/>
  <c r="Q19" i="4" s="1"/>
  <c r="L19" i="4"/>
  <c r="P19" i="4" s="1"/>
  <c r="K19" i="4"/>
  <c r="O19" i="4" s="1"/>
  <c r="H19" i="4"/>
  <c r="I19" i="4" s="1"/>
  <c r="G19" i="4"/>
  <c r="F19" i="4"/>
  <c r="AB18" i="4"/>
  <c r="W18" i="4"/>
  <c r="V18" i="4"/>
  <c r="M18" i="4"/>
  <c r="Q18" i="4" s="1"/>
  <c r="L18" i="4"/>
  <c r="P18" i="4" s="1"/>
  <c r="K18" i="4"/>
  <c r="O18" i="4" s="1"/>
  <c r="H18" i="4"/>
  <c r="I18" i="4" s="1"/>
  <c r="G18" i="4"/>
  <c r="F18" i="4"/>
  <c r="AB17" i="4"/>
  <c r="W17" i="4"/>
  <c r="V17" i="4"/>
  <c r="M17" i="4"/>
  <c r="Q17" i="4" s="1"/>
  <c r="L17" i="4"/>
  <c r="P17" i="4" s="1"/>
  <c r="K17" i="4"/>
  <c r="O17" i="4" s="1"/>
  <c r="H17" i="4"/>
  <c r="I17" i="4" s="1"/>
  <c r="G17" i="4"/>
  <c r="F17" i="4"/>
  <c r="AB16" i="4"/>
  <c r="W16" i="4"/>
  <c r="V16" i="4"/>
  <c r="M16" i="4"/>
  <c r="Q16" i="4" s="1"/>
  <c r="L16" i="4"/>
  <c r="P16" i="4" s="1"/>
  <c r="K16" i="4"/>
  <c r="O16" i="4" s="1"/>
  <c r="H16" i="4"/>
  <c r="I16" i="4" s="1"/>
  <c r="G16" i="4"/>
  <c r="F16" i="4"/>
  <c r="AB15" i="4"/>
  <c r="W15" i="4"/>
  <c r="V15" i="4"/>
  <c r="M15" i="4"/>
  <c r="Q15" i="4" s="1"/>
  <c r="L15" i="4"/>
  <c r="P15" i="4" s="1"/>
  <c r="K15" i="4"/>
  <c r="O15" i="4" s="1"/>
  <c r="H15" i="4"/>
  <c r="I15" i="4" s="1"/>
  <c r="G15" i="4"/>
  <c r="F15" i="4"/>
  <c r="AB14" i="4"/>
  <c r="W14" i="4"/>
  <c r="V14" i="4"/>
  <c r="M14" i="4"/>
  <c r="Q14" i="4" s="1"/>
  <c r="L14" i="4"/>
  <c r="P14" i="4" s="1"/>
  <c r="K14" i="4"/>
  <c r="O14" i="4" s="1"/>
  <c r="H14" i="4"/>
  <c r="I14" i="4" s="1"/>
  <c r="G14" i="4"/>
  <c r="F14" i="4"/>
  <c r="AB13" i="4"/>
  <c r="W13" i="4"/>
  <c r="V13" i="4"/>
  <c r="M13" i="4"/>
  <c r="Q13" i="4" s="1"/>
  <c r="L13" i="4"/>
  <c r="P13" i="4" s="1"/>
  <c r="K13" i="4"/>
  <c r="O13" i="4" s="1"/>
  <c r="H13" i="4"/>
  <c r="I13" i="4" s="1"/>
  <c r="G13" i="4"/>
  <c r="F13" i="4"/>
  <c r="AB12" i="4"/>
  <c r="W12" i="4"/>
  <c r="V12" i="4"/>
  <c r="M12" i="4"/>
  <c r="Q12" i="4" s="1"/>
  <c r="L12" i="4"/>
  <c r="P12" i="4" s="1"/>
  <c r="K12" i="4"/>
  <c r="O12" i="4" s="1"/>
  <c r="H12" i="4"/>
  <c r="I12" i="4" s="1"/>
  <c r="G12" i="4"/>
  <c r="F12" i="4"/>
  <c r="AB11" i="4"/>
  <c r="W11" i="4"/>
  <c r="V11" i="4"/>
  <c r="M11" i="4"/>
  <c r="Q11" i="4" s="1"/>
  <c r="L11" i="4"/>
  <c r="P11" i="4" s="1"/>
  <c r="K11" i="4"/>
  <c r="O11" i="4" s="1"/>
  <c r="H11" i="4"/>
  <c r="I11" i="4" s="1"/>
  <c r="G11" i="4"/>
  <c r="F11" i="4"/>
  <c r="AB10" i="4"/>
  <c r="W10" i="4"/>
  <c r="V10" i="4"/>
  <c r="M10" i="4"/>
  <c r="Q10" i="4" s="1"/>
  <c r="L10" i="4"/>
  <c r="P10" i="4" s="1"/>
  <c r="K10" i="4"/>
  <c r="O10" i="4" s="1"/>
  <c r="H10" i="4"/>
  <c r="I10" i="4" s="1"/>
  <c r="G10" i="4"/>
  <c r="F10" i="4"/>
  <c r="M9" i="4"/>
  <c r="Q9" i="4" s="1"/>
  <c r="L9" i="4"/>
  <c r="P9" i="4" s="1"/>
  <c r="K9" i="4"/>
  <c r="O9" i="4" s="1"/>
  <c r="H9" i="4"/>
  <c r="I9" i="4" s="1"/>
  <c r="F9" i="4"/>
  <c r="G9" i="4" s="1"/>
  <c r="M8" i="4"/>
  <c r="Q8" i="4" s="1"/>
  <c r="L8" i="4"/>
  <c r="P8" i="4" s="1"/>
  <c r="K8" i="4"/>
  <c r="O8" i="4" s="1"/>
  <c r="H8" i="4"/>
  <c r="I8" i="4" s="1"/>
  <c r="F8" i="4"/>
  <c r="G8" i="4" s="1"/>
  <c r="M7" i="4"/>
  <c r="Q7" i="4" s="1"/>
  <c r="L7" i="4"/>
  <c r="P7" i="4" s="1"/>
  <c r="K7" i="4"/>
  <c r="O7" i="4" s="1"/>
  <c r="H7" i="4"/>
  <c r="I7" i="4" s="1"/>
  <c r="F7" i="4"/>
  <c r="G7" i="4" s="1"/>
  <c r="C22" i="2"/>
  <c r="E9" i="3"/>
  <c r="E8" i="3"/>
  <c r="E7" i="3"/>
  <c r="K27" i="5" l="1"/>
  <c r="E23" i="5"/>
  <c r="Y7" i="4"/>
  <c r="N7" i="4"/>
  <c r="R7" i="4" s="1"/>
  <c r="S7" i="4" s="1"/>
  <c r="T7" i="4" s="1"/>
  <c r="U7" i="4" s="1"/>
  <c r="V7" i="4" s="1"/>
  <c r="W7" i="4" s="1"/>
  <c r="J7" i="4"/>
  <c r="H19" i="5"/>
  <c r="E7" i="5"/>
  <c r="H7" i="5" s="1"/>
  <c r="K5" i="5"/>
  <c r="K4" i="5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Y8" i="4"/>
  <c r="N8" i="4"/>
  <c r="R8" i="4" s="1"/>
  <c r="S8" i="4" s="1"/>
  <c r="T8" i="4" s="1"/>
  <c r="U8" i="4" s="1"/>
  <c r="J8" i="4"/>
  <c r="Y9" i="4"/>
  <c r="N9" i="4"/>
  <c r="R9" i="4" s="1"/>
  <c r="S9" i="4" s="1"/>
  <c r="T9" i="4" s="1"/>
  <c r="U9" i="4" s="1"/>
  <c r="J9" i="4"/>
  <c r="Y10" i="4"/>
  <c r="Z10" i="4" s="1"/>
  <c r="N10" i="4"/>
  <c r="R10" i="4" s="1"/>
  <c r="S10" i="4" s="1"/>
  <c r="T10" i="4" s="1"/>
  <c r="J10" i="4"/>
  <c r="X10" i="4"/>
  <c r="Y11" i="4"/>
  <c r="Z11" i="4" s="1"/>
  <c r="N11" i="4"/>
  <c r="R11" i="4" s="1"/>
  <c r="S11" i="4" s="1"/>
  <c r="T11" i="4" s="1"/>
  <c r="J11" i="4"/>
  <c r="X11" i="4"/>
  <c r="Y12" i="4"/>
  <c r="Z12" i="4" s="1"/>
  <c r="N12" i="4"/>
  <c r="R12" i="4" s="1"/>
  <c r="S12" i="4" s="1"/>
  <c r="T12" i="4" s="1"/>
  <c r="J12" i="4"/>
  <c r="X12" i="4"/>
  <c r="Y13" i="4"/>
  <c r="Z13" i="4" s="1"/>
  <c r="N13" i="4"/>
  <c r="R13" i="4" s="1"/>
  <c r="S13" i="4" s="1"/>
  <c r="T13" i="4" s="1"/>
  <c r="J13" i="4"/>
  <c r="X13" i="4"/>
  <c r="Y14" i="4"/>
  <c r="Z14" i="4" s="1"/>
  <c r="N14" i="4"/>
  <c r="R14" i="4" s="1"/>
  <c r="S14" i="4" s="1"/>
  <c r="T14" i="4" s="1"/>
  <c r="J14" i="4"/>
  <c r="X14" i="4"/>
  <c r="Y15" i="4"/>
  <c r="Z15" i="4" s="1"/>
  <c r="N15" i="4"/>
  <c r="R15" i="4" s="1"/>
  <c r="S15" i="4" s="1"/>
  <c r="T15" i="4" s="1"/>
  <c r="J15" i="4"/>
  <c r="X15" i="4"/>
  <c r="Y16" i="4"/>
  <c r="Z16" i="4" s="1"/>
  <c r="N16" i="4"/>
  <c r="R16" i="4" s="1"/>
  <c r="S16" i="4" s="1"/>
  <c r="T16" i="4" s="1"/>
  <c r="J16" i="4"/>
  <c r="X16" i="4"/>
  <c r="Y17" i="4"/>
  <c r="Z17" i="4" s="1"/>
  <c r="N17" i="4"/>
  <c r="R17" i="4" s="1"/>
  <c r="S17" i="4" s="1"/>
  <c r="T17" i="4" s="1"/>
  <c r="J17" i="4"/>
  <c r="X17" i="4"/>
  <c r="Y18" i="4"/>
  <c r="Z18" i="4" s="1"/>
  <c r="N18" i="4"/>
  <c r="R18" i="4" s="1"/>
  <c r="S18" i="4" s="1"/>
  <c r="T18" i="4" s="1"/>
  <c r="J18" i="4"/>
  <c r="X18" i="4"/>
  <c r="Y19" i="4"/>
  <c r="Z19" i="4" s="1"/>
  <c r="N19" i="4"/>
  <c r="R19" i="4" s="1"/>
  <c r="S19" i="4" s="1"/>
  <c r="T19" i="4" s="1"/>
  <c r="J19" i="4"/>
  <c r="X19" i="4"/>
  <c r="Y20" i="4"/>
  <c r="Z20" i="4" s="1"/>
  <c r="N20" i="4"/>
  <c r="R20" i="4" s="1"/>
  <c r="S20" i="4" s="1"/>
  <c r="T20" i="4" s="1"/>
  <c r="J20" i="4"/>
  <c r="X20" i="4"/>
  <c r="Y21" i="4"/>
  <c r="Z21" i="4" s="1"/>
  <c r="N21" i="4"/>
  <c r="R21" i="4" s="1"/>
  <c r="S21" i="4" s="1"/>
  <c r="T21" i="4" s="1"/>
  <c r="J21" i="4"/>
  <c r="X21" i="4"/>
  <c r="Y22" i="4"/>
  <c r="Z22" i="4" s="1"/>
  <c r="N22" i="4"/>
  <c r="R22" i="4" s="1"/>
  <c r="S22" i="4" s="1"/>
  <c r="T22" i="4" s="1"/>
  <c r="J22" i="4"/>
  <c r="X22" i="4"/>
  <c r="Y23" i="4"/>
  <c r="Z23" i="4" s="1"/>
  <c r="N23" i="4"/>
  <c r="R23" i="4" s="1"/>
  <c r="S23" i="4" s="1"/>
  <c r="T23" i="4" s="1"/>
  <c r="J23" i="4"/>
  <c r="X23" i="4"/>
  <c r="Y24" i="4"/>
  <c r="Z24" i="4" s="1"/>
  <c r="N24" i="4"/>
  <c r="R24" i="4" s="1"/>
  <c r="S24" i="4" s="1"/>
  <c r="T24" i="4" s="1"/>
  <c r="J24" i="4"/>
  <c r="X24" i="4"/>
  <c r="Y25" i="4"/>
  <c r="Z25" i="4" s="1"/>
  <c r="N25" i="4"/>
  <c r="R25" i="4" s="1"/>
  <c r="S25" i="4" s="1"/>
  <c r="T25" i="4" s="1"/>
  <c r="J25" i="4"/>
  <c r="X25" i="4"/>
  <c r="Y26" i="4"/>
  <c r="Z26" i="4" s="1"/>
  <c r="N26" i="4"/>
  <c r="R26" i="4" s="1"/>
  <c r="S26" i="4" s="1"/>
  <c r="T26" i="4" s="1"/>
  <c r="J26" i="4"/>
  <c r="X26" i="4"/>
  <c r="V9" i="4" l="1"/>
  <c r="W9" i="4" s="1"/>
  <c r="V8" i="4"/>
  <c r="B15" i="5"/>
  <c r="K26" i="5" s="1"/>
  <c r="Z7" i="4"/>
  <c r="X7" i="4"/>
  <c r="X9" i="4" l="1"/>
  <c r="Z9" i="4"/>
  <c r="W8" i="4"/>
  <c r="B11" i="5"/>
  <c r="E19" i="5"/>
  <c r="X8" i="4" l="1"/>
  <c r="E11" i="5"/>
  <c r="Z8" i="4"/>
  <c r="K25" i="5" l="1"/>
  <c r="H11" i="5"/>
  <c r="E15" i="5"/>
  <c r="B1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Copilot</author>
  </authors>
  <commentList>
    <comment ref="I6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Horas-máquina requeridas: cantidad / productos por hora.</t>
        </r>
      </text>
    </comment>
    <comment ref="J6" authorId="0" shapeId="0" xr:uid="{00000000-0006-0000-0300-000002000000}">
      <text>
        <r>
          <rPr>
            <sz val="11"/>
            <color theme="1"/>
            <rFont val="Calibri"/>
            <family val="2"/>
            <scheme val="minor"/>
          </rPr>
          <t>Duración aproximada si las máquinas trabajan en paralelo: horas-máquina / número de máquinas.</t>
        </r>
      </text>
    </comment>
    <comment ref="W6" authorId="0" shapeId="0" xr:uid="{00000000-0006-0000-0300-000003000000}">
      <text>
        <r>
          <rPr>
            <sz val="11"/>
            <color theme="1"/>
            <rFont val="Calibri"/>
            <family val="2"/>
            <scheme val="minor"/>
          </rPr>
          <t>Venta menos materia prima y otros costes totalmente variables. Los costes fijos de transformación no se restan para la contribución marginal TOC.</t>
        </r>
      </text>
    </comment>
  </commentList>
</comments>
</file>

<file path=xl/sharedStrings.xml><?xml version="1.0" encoding="utf-8"?>
<sst xmlns="http://schemas.openxmlformats.org/spreadsheetml/2006/main" count="158" uniqueCount="139">
  <si>
    <t>SIMULADOR DE COTIZACIÓN Y ADJUDICACIÓN DE PEDIDOS</t>
  </si>
  <si>
    <t>Cómo se utiliza</t>
  </si>
  <si>
    <t>1. Configure la empresa</t>
  </si>
  <si>
    <t>En “Parametros”, capture los centros de coste, el coste por hora resultante de su mapa y marque cuál es la restricción.</t>
  </si>
  <si>
    <t>2. Reciba el pedido</t>
  </si>
  <si>
    <t>En “Cotizador”, seleccione únicamente el producto y capture cantidad, cliente y precio. Materiales, velocidades y rutas se recuperan automáticamente del catálogo.</t>
  </si>
  <si>
    <t>3. Calcule el coste</t>
  </si>
  <si>
    <t>La plantilla calcula automáticamente material, horas por proceso, coste de transformación, coste total y coste unitario usando los costes por hora informados.</t>
  </si>
  <si>
    <t>4. Defina el precio</t>
  </si>
  <si>
    <t>Capture el precio ofertado. Compare coste completo, contribución marginal y rendimiento por hora de restricción.</t>
  </si>
  <si>
    <t>5. Conozca el corte</t>
  </si>
  <si>
    <t>Cuando el instructor anuncie el precio máximo adjudicado, captúrelo. La hoja marcará GANADO o PERDIDO.</t>
  </si>
  <si>
    <t>6. Evalúe el resultado</t>
  </si>
  <si>
    <t>En “Resumen” revise pedidos ganados, ventas, contribución marginal y rendimiento de la restricción.</t>
  </si>
  <si>
    <t>Criterio TOC para el ejercicio: el coste completo ayuda a entender la estructura interna, pero la decisión comercial debe comprobar cuánto dinero adicional deja el pedido después de sus costes totalmente variables y cuánto consume de la restricción. El precio nunca se decide mirando una sola métrica.</t>
  </si>
  <si>
    <t>PARÁMETROS DE LA EMPRESA Y CENTROS DE COSTE</t>
  </si>
  <si>
    <t>Empresa</t>
  </si>
  <si>
    <t>Participante / equipo</t>
  </si>
  <si>
    <t>Contribución objetivo del periodo ($)</t>
  </si>
  <si>
    <t>Horas disponibles de la restricción</t>
  </si>
  <si>
    <t>Número de máquinas de inyección</t>
  </si>
  <si>
    <t>Centro de coste</t>
  </si>
  <si>
    <t>Coste por hora ($/h)</t>
  </si>
  <si>
    <t>¿Es restricción?</t>
  </si>
  <si>
    <t>Capacidad disponible (h)</t>
  </si>
  <si>
    <t>Notas</t>
  </si>
  <si>
    <t>Inyección</t>
  </si>
  <si>
    <t>Sí</t>
  </si>
  <si>
    <t>Coste/h del mapa de costes</t>
  </si>
  <si>
    <t>Ensamble</t>
  </si>
  <si>
    <t>No</t>
  </si>
  <si>
    <t>Inspección</t>
  </si>
  <si>
    <t>Capture coste/h</t>
  </si>
  <si>
    <t>Empaque</t>
  </si>
  <si>
    <t>Almacén</t>
  </si>
  <si>
    <t>Otro 1</t>
  </si>
  <si>
    <t>Otro 2</t>
  </si>
  <si>
    <t>Otro 3</t>
  </si>
  <si>
    <t>Comprobación</t>
  </si>
  <si>
    <t>Debe existir exactamente una restricción</t>
  </si>
  <si>
    <t>CATÁLOGO AUTOMÁTICO DE PRODUCTOS Y RUTAS</t>
  </si>
  <si>
    <t>Los datos proporcionados están precargados. Los tiempos azules de ensamble, inspección y empaque se capturan una sola vez cuando el instructor los defina.</t>
  </si>
  <si>
    <t>Producto</t>
  </si>
  <si>
    <t>MP por producto ($)</t>
  </si>
  <si>
    <t>Piezas físicas</t>
  </si>
  <si>
    <t>Producción inyección (productos/h)</t>
  </si>
  <si>
    <t>Min inyección/u</t>
  </si>
  <si>
    <t>Min ensamble/u</t>
  </si>
  <si>
    <t>Min inspección/u</t>
  </si>
  <si>
    <t>Min empaque/u</t>
  </si>
  <si>
    <t>Ruta automática</t>
  </si>
  <si>
    <t>Observación</t>
  </si>
  <si>
    <t>Bandeja</t>
  </si>
  <si>
    <t>Inyección &gt; Inspección &gt; Empaque</t>
  </si>
  <si>
    <t>Cubeta</t>
  </si>
  <si>
    <t>Inyección &gt; Ensamble &gt; Inspección &gt; Empaque</t>
  </si>
  <si>
    <t>MP: $12.25 cuerpo + $5.00 asa</t>
  </si>
  <si>
    <t>Caja</t>
  </si>
  <si>
    <t>Tres piezas por caja; velocidad expresada como cajas/h</t>
  </si>
  <si>
    <t>Nota didáctica</t>
  </si>
  <si>
    <t>Las horas de inyección son horas-máquina necesarias para costear. El tiempo calendario estimado divide esas horas entre el número de máquinas. Por ello, más máquinas reducen el plazo, pero no eliminan las horas-máquina consumidas.</t>
  </si>
  <si>
    <t>COTIZADOR AUTOMÁTICO • PEDIDOS Y DECISIÓN TOC</t>
  </si>
  <si>
    <t>Capture solamente producto, cliente, cantidad, otros variables y precio ofertado. El resto se calcula automáticamente.</t>
  </si>
  <si>
    <t>Pedido</t>
  </si>
  <si>
    <t>Cliente</t>
  </si>
  <si>
    <t>Cantidad</t>
  </si>
  <si>
    <t>Otros variables/u</t>
  </si>
  <si>
    <t>MP/u</t>
  </si>
  <si>
    <t>MP total</t>
  </si>
  <si>
    <t>Productos/h inyección</t>
  </si>
  <si>
    <t>Horas-máquina inyección</t>
  </si>
  <si>
    <t>Tiempo calendario inyección</t>
  </si>
  <si>
    <t>Horas ensamble</t>
  </si>
  <si>
    <t>Horas inspección</t>
  </si>
  <si>
    <t>Horas empaque</t>
  </si>
  <si>
    <t>Coste inyección</t>
  </si>
  <si>
    <t>Coste ensamble</t>
  </si>
  <si>
    <t>Coste inspección</t>
  </si>
  <si>
    <t>Coste empaque</t>
  </si>
  <si>
    <t>Coste transformación</t>
  </si>
  <si>
    <t>Coste completo</t>
  </si>
  <si>
    <t>Coste unitario</t>
  </si>
  <si>
    <t>Precio ofertado/u</t>
  </si>
  <si>
    <t>Venta total</t>
  </si>
  <si>
    <t>Contribución marginal</t>
  </si>
  <si>
    <t>CM %</t>
  </si>
  <si>
    <t>Horas restricción</t>
  </si>
  <si>
    <t>Rendimiento restricción $/h</t>
  </si>
  <si>
    <t>Precio máximo adjudicado/u</t>
  </si>
  <si>
    <t>Resultado</t>
  </si>
  <si>
    <t>Ganados acumulados</t>
  </si>
  <si>
    <t>P-001</t>
  </si>
  <si>
    <t>GANADO</t>
  </si>
  <si>
    <t>P-002</t>
  </si>
  <si>
    <t>P-003</t>
  </si>
  <si>
    <t>P-004</t>
  </si>
  <si>
    <t>P-005</t>
  </si>
  <si>
    <t>P-006</t>
  </si>
  <si>
    <t>P-007</t>
  </si>
  <si>
    <t>P-008</t>
  </si>
  <si>
    <t>P-009</t>
  </si>
  <si>
    <t>P-010</t>
  </si>
  <si>
    <t>P-011</t>
  </si>
  <si>
    <t>P-012</t>
  </si>
  <si>
    <t>P-013</t>
  </si>
  <si>
    <t>P-014</t>
  </si>
  <si>
    <t>P-015</t>
  </si>
  <si>
    <t>P-016</t>
  </si>
  <si>
    <t>P-017</t>
  </si>
  <si>
    <t>P-018</t>
  </si>
  <si>
    <t>P-019</t>
  </si>
  <si>
    <t>P-020</t>
  </si>
  <si>
    <t>TABLERO DE RESULTADOS DEL EQUIPO</t>
  </si>
  <si>
    <t>Máquinas</t>
  </si>
  <si>
    <t>Ganados</t>
  </si>
  <si>
    <t>Perdidos</t>
  </si>
  <si>
    <t>Pedidos cotizados</t>
  </si>
  <si>
    <t>Pedidos ganados</t>
  </si>
  <si>
    <t>Tasa de éxito</t>
  </si>
  <si>
    <t>Ventas ganadas</t>
  </si>
  <si>
    <t>Contribución ganada</t>
  </si>
  <si>
    <t>CM sobre ventas</t>
  </si>
  <si>
    <t>Horas restricción ganadas</t>
  </si>
  <si>
    <t>Rendimiento global restricción</t>
  </si>
  <si>
    <t>Contribución objetivo</t>
  </si>
  <si>
    <t>Brecha contra objetivo</t>
  </si>
  <si>
    <t>Capacidad restricción utilizada</t>
  </si>
  <si>
    <t>Pedidos perdidos</t>
  </si>
  <si>
    <t>Horas de Restricción</t>
  </si>
  <si>
    <t>Rendimiento esperado</t>
  </si>
  <si>
    <t>Lectura clave</t>
  </si>
  <si>
    <t>El número de máquinas reduce el plazo calendario de inyección, pero el coste se calcula con las horas-máquina consumidas. Para decidir el precio, compare el coste completo con la contribución marginal y, si la inyección es la restricción, con el rendimiento por hora de inyección.</t>
  </si>
  <si>
    <t>% CM</t>
  </si>
  <si>
    <t>% Horas Rest</t>
  </si>
  <si>
    <t>Porcentaje</t>
  </si>
  <si>
    <t>Total</t>
  </si>
  <si>
    <t>Gastos Fijos</t>
  </si>
  <si>
    <t>Gastos Totales</t>
  </si>
  <si>
    <t>Tecnobox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</si>
</sst>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\$#,##0;[Red]\(\$#,##0\);\-"/>
    <numFmt numFmtId="165" formatCode="\$#,##0.00;[Red]\(\$#,##0.00\);\-"/>
    <numFmt numFmtId="166" formatCode="0.0%"/>
    <numFmt numFmtId="167" formatCode="\$#,##0.00"/>
    <numFmt numFmtId="168" formatCode="0\ &quot;horas&quot;"/>
  </numFmts>
  <fonts count="16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b/>
      <sz val="14"/>
      <color rgb="FF17365D"/>
      <name val="Calibri"/>
      <family val="2"/>
    </font>
    <font>
      <b/>
      <sz val="11"/>
      <color rgb="FF4472C4"/>
      <name val="Calibri"/>
      <family val="2"/>
    </font>
    <font>
      <b/>
      <sz val="11"/>
      <color rgb="FF17365D"/>
      <name val="Calibri"/>
      <family val="2"/>
    </font>
    <font>
      <b/>
      <sz val="11"/>
      <color rgb="FF666666"/>
      <name val="Calibri"/>
      <family val="2"/>
    </font>
    <font>
      <sz val="11"/>
      <color rgb="FF0000FF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i/>
      <sz val="11"/>
      <color rgb="FF17365D"/>
      <name val="Calibri"/>
      <family val="2"/>
    </font>
    <font>
      <b/>
      <sz val="9"/>
      <color rgb="FFFFFFFF"/>
      <name val="Calibri"/>
      <family val="2"/>
    </font>
    <font>
      <sz val="11"/>
      <color rgb="FF000000"/>
      <name val="Calibri"/>
      <family val="2"/>
    </font>
    <font>
      <sz val="11"/>
      <color rgb="FF008000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F4B183"/>
      </patternFill>
    </fill>
    <fill>
      <patternFill patternType="solid">
        <fgColor rgb="FF17365D"/>
      </patternFill>
    </fill>
    <fill>
      <patternFill patternType="solid">
        <fgColor rgb="FFDDEBF7"/>
      </patternFill>
    </fill>
    <fill>
      <patternFill patternType="solid">
        <fgColor rgb="FF4472C4"/>
      </patternFill>
    </fill>
    <fill>
      <patternFill patternType="solid">
        <fgColor rgb="FFEAF2F8"/>
      </patternFill>
    </fill>
    <fill>
      <patternFill patternType="solid">
        <fgColor rgb="FF0F6B78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2" fontId="11" fillId="0" borderId="0" xfId="0" applyNumberFormat="1" applyFont="1" applyAlignment="1">
      <alignment vertical="center"/>
    </xf>
    <xf numFmtId="165" fontId="11" fillId="0" borderId="0" xfId="0" applyNumberFormat="1" applyFont="1" applyAlignment="1">
      <alignment vertical="center"/>
    </xf>
    <xf numFmtId="166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3" borderId="0" xfId="0" applyFont="1" applyFill="1"/>
    <xf numFmtId="164" fontId="6" fillId="3" borderId="0" xfId="0" applyNumberFormat="1" applyFont="1" applyFill="1"/>
    <xf numFmtId="2" fontId="6" fillId="3" borderId="0" xfId="0" applyNumberFormat="1" applyFont="1" applyFill="1"/>
    <xf numFmtId="1" fontId="6" fillId="3" borderId="0" xfId="0" applyNumberFormat="1" applyFont="1" applyFill="1"/>
    <xf numFmtId="0" fontId="7" fillId="7" borderId="0" xfId="0" applyFont="1" applyFill="1" applyAlignment="1">
      <alignment horizontal="center" wrapText="1"/>
    </xf>
    <xf numFmtId="165" fontId="6" fillId="3" borderId="0" xfId="0" applyNumberFormat="1" applyFont="1" applyFill="1"/>
    <xf numFmtId="0" fontId="8" fillId="4" borderId="0" xfId="0" applyFont="1" applyFill="1"/>
    <xf numFmtId="0" fontId="7" fillId="7" borderId="0" xfId="0" applyFont="1" applyFill="1" applyAlignment="1">
      <alignment horizontal="center" vertical="center" wrapText="1"/>
    </xf>
    <xf numFmtId="167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4" fillId="0" borderId="0" xfId="0" applyFont="1"/>
    <xf numFmtId="0" fontId="10" fillId="7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vertical="center" wrapText="1"/>
    </xf>
    <xf numFmtId="0" fontId="6" fillId="8" borderId="0" xfId="0" applyFont="1" applyFill="1" applyAlignment="1">
      <alignment vertical="center"/>
    </xf>
    <xf numFmtId="165" fontId="6" fillId="8" borderId="0" xfId="0" applyNumberFormat="1" applyFont="1" applyFill="1" applyAlignment="1">
      <alignment vertical="center"/>
    </xf>
    <xf numFmtId="165" fontId="6" fillId="3" borderId="0" xfId="0" applyNumberFormat="1" applyFont="1" applyFill="1" applyAlignment="1">
      <alignment vertical="center"/>
    </xf>
    <xf numFmtId="10" fontId="0" fillId="0" borderId="0" xfId="2" applyNumberFormat="1" applyFont="1"/>
    <xf numFmtId="0" fontId="9" fillId="6" borderId="0" xfId="0" applyFont="1" applyFill="1"/>
    <xf numFmtId="0" fontId="0" fillId="0" borderId="0" xfId="0"/>
    <xf numFmtId="0" fontId="1" fillId="5" borderId="0" xfId="0" applyFont="1" applyFill="1" applyAlignment="1">
      <alignment horizontal="center" vertical="center"/>
    </xf>
    <xf numFmtId="0" fontId="3" fillId="0" borderId="0" xfId="0" applyFont="1"/>
    <xf numFmtId="0" fontId="4" fillId="3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13" fillId="6" borderId="0" xfId="0" applyFont="1" applyFill="1" applyAlignment="1">
      <alignment horizontal="center" vertical="center"/>
    </xf>
    <xf numFmtId="166" fontId="13" fillId="6" borderId="0" xfId="0" applyNumberFormat="1" applyFont="1" applyFill="1" applyAlignment="1">
      <alignment horizontal="center" vertical="center"/>
    </xf>
    <xf numFmtId="165" fontId="13" fillId="6" borderId="0" xfId="0" applyNumberFormat="1" applyFont="1" applyFill="1" applyAlignment="1">
      <alignment horizontal="center" vertical="center"/>
    </xf>
    <xf numFmtId="165" fontId="13" fillId="10" borderId="0" xfId="0" applyNumberFormat="1" applyFont="1" applyFill="1" applyAlignment="1">
      <alignment horizontal="center" vertical="center"/>
    </xf>
    <xf numFmtId="0" fontId="0" fillId="10" borderId="0" xfId="0" applyFill="1"/>
    <xf numFmtId="168" fontId="13" fillId="10" borderId="0" xfId="0" applyNumberFormat="1" applyFont="1" applyFill="1" applyAlignment="1">
      <alignment horizontal="center" vertical="center"/>
    </xf>
    <xf numFmtId="168" fontId="0" fillId="10" borderId="0" xfId="0" applyNumberFormat="1" applyFill="1"/>
    <xf numFmtId="0" fontId="15" fillId="9" borderId="0" xfId="0" applyFont="1" applyFill="1" applyAlignment="1">
      <alignment vertical="center" wrapText="1"/>
    </xf>
    <xf numFmtId="44" fontId="13" fillId="10" borderId="0" xfId="1" applyFont="1" applyFill="1" applyAlignment="1">
      <alignment horizontal="center" vertical="center"/>
    </xf>
    <xf numFmtId="44" fontId="0" fillId="10" borderId="0" xfId="1" applyFont="1" applyFill="1" applyAlignment="1"/>
    <xf numFmtId="2" fontId="13" fillId="6" borderId="0" xfId="0" applyNumberFormat="1" applyFont="1" applyFill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3">
    <dxf>
      <font>
        <b/>
        <color rgb="FF9C0006"/>
      </font>
      <fill>
        <patternFill patternType="solid">
          <fgColor rgb="FFF4CCCC"/>
        </patternFill>
      </fill>
    </dxf>
    <dxf>
      <font>
        <b/>
        <color rgb="FF006100"/>
      </font>
      <fill>
        <patternFill patternType="solid">
          <fgColor rgb="FFE2F0D9"/>
        </patternFill>
      </fill>
    </dxf>
    <dxf>
      <fill>
        <patternFill patternType="solid">
          <fgColor rgb="FFF4B18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s-ES"/>
              <a:t>Pedidos ganados vs perdidos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Resumen!$K$3</c:f>
              <c:strCache>
                <c:ptCount val="1"/>
                <c:pt idx="0">
                  <c:v>Cantidad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Resumen!$J$4:$J$5</c:f>
              <c:strCache>
                <c:ptCount val="2"/>
                <c:pt idx="0">
                  <c:v>Ganados</c:v>
                </c:pt>
                <c:pt idx="1">
                  <c:v>Perdidos</c:v>
                </c:pt>
              </c:strCache>
            </c:strRef>
          </c:cat>
          <c:val>
            <c:numRef>
              <c:f>Resumen!$K$4:$K$5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1C-4C38-A229-B1F712A88F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es-ES" sz="1000"/>
              <a:t>Comparación % CM contra % Horas Rest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Resumen!$K$24</c:f>
              <c:strCache>
                <c:ptCount val="1"/>
                <c:pt idx="0">
                  <c:v>Porcentaje</c:v>
                </c:pt>
              </c:strCache>
            </c:strRef>
          </c:tx>
          <c:invertIfNegative val="1"/>
          <c:cat>
            <c:strRef>
              <c:f>Resumen!$J$25:$J$28</c:f>
              <c:strCache>
                <c:ptCount val="4"/>
                <c:pt idx="0">
                  <c:v>% CM</c:v>
                </c:pt>
                <c:pt idx="1">
                  <c:v>% Horas Rest</c:v>
                </c:pt>
                <c:pt idx="2">
                  <c:v>Gastos Totales</c:v>
                </c:pt>
                <c:pt idx="3">
                  <c:v>Total</c:v>
                </c:pt>
              </c:strCache>
            </c:strRef>
          </c:cat>
          <c:val>
            <c:numRef>
              <c:f>Resumen!$K$25:$K$28</c:f>
              <c:numCache>
                <c:formatCode>0.00%</c:formatCode>
                <c:ptCount val="4"/>
                <c:pt idx="0">
                  <c:v>8.2669333003608542E-2</c:v>
                </c:pt>
                <c:pt idx="1">
                  <c:v>7.1626263375095756E-2</c:v>
                </c:pt>
                <c:pt idx="2">
                  <c:v>0.7377412023351505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7B-4FB8-BDA8-383C42BD9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0.00%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396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9</xdr:col>
      <xdr:colOff>0</xdr:colOff>
      <xdr:row>29</xdr:row>
      <xdr:rowOff>0</xdr:rowOff>
    </xdr:from>
    <xdr:ext cx="3960000" cy="25200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40F0FED-0512-4709-A285-B4F489CF6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GridLines="0" workbookViewId="0">
      <selection activeCell="C10" sqref="C10:H10"/>
    </sheetView>
  </sheetViews>
  <sheetFormatPr baseColWidth="10" defaultColWidth="9.140625" defaultRowHeight="15" x14ac:dyDescent="0.25"/>
  <cols>
    <col min="1" max="2" width="18" customWidth="1"/>
    <col min="3" max="8" width="19" customWidth="1"/>
  </cols>
  <sheetData>
    <row r="1" spans="1:8" x14ac:dyDescent="0.25">
      <c r="A1" s="32" t="s">
        <v>0</v>
      </c>
      <c r="B1" s="31"/>
      <c r="C1" s="31"/>
      <c r="D1" s="31"/>
      <c r="E1" s="31"/>
      <c r="F1" s="31"/>
      <c r="G1" s="31"/>
      <c r="H1" s="31"/>
    </row>
    <row r="2" spans="1:8" x14ac:dyDescent="0.25">
      <c r="A2" s="31"/>
      <c r="B2" s="31"/>
      <c r="C2" s="31"/>
      <c r="D2" s="31"/>
      <c r="E2" s="31"/>
      <c r="F2" s="31"/>
      <c r="G2" s="31"/>
      <c r="H2" s="31"/>
    </row>
    <row r="4" spans="1:8" ht="18.75" customHeight="1" x14ac:dyDescent="0.3">
      <c r="A4" s="1" t="s">
        <v>1</v>
      </c>
    </row>
    <row r="6" spans="1:8" ht="33.950000000000003" customHeight="1" x14ac:dyDescent="0.25">
      <c r="A6" s="33" t="s">
        <v>2</v>
      </c>
      <c r="B6" s="31"/>
      <c r="C6" s="35" t="s">
        <v>3</v>
      </c>
      <c r="D6" s="31"/>
      <c r="E6" s="31"/>
      <c r="F6" s="31"/>
      <c r="G6" s="31"/>
      <c r="H6" s="31"/>
    </row>
    <row r="8" spans="1:8" ht="33.950000000000003" customHeight="1" x14ac:dyDescent="0.25">
      <c r="A8" s="33" t="s">
        <v>4</v>
      </c>
      <c r="B8" s="31"/>
      <c r="C8" s="35" t="s">
        <v>5</v>
      </c>
      <c r="D8" s="31"/>
      <c r="E8" s="31"/>
      <c r="F8" s="31"/>
      <c r="G8" s="31"/>
      <c r="H8" s="31"/>
    </row>
    <row r="10" spans="1:8" ht="33.950000000000003" customHeight="1" x14ac:dyDescent="0.25">
      <c r="A10" s="33" t="s">
        <v>6</v>
      </c>
      <c r="B10" s="31"/>
      <c r="C10" s="35" t="s">
        <v>7</v>
      </c>
      <c r="D10" s="31"/>
      <c r="E10" s="31"/>
      <c r="F10" s="31"/>
      <c r="G10" s="31"/>
      <c r="H10" s="31"/>
    </row>
    <row r="12" spans="1:8" ht="33.950000000000003" customHeight="1" x14ac:dyDescent="0.25">
      <c r="A12" s="33" t="s">
        <v>8</v>
      </c>
      <c r="B12" s="31"/>
      <c r="C12" s="35" t="s">
        <v>9</v>
      </c>
      <c r="D12" s="31"/>
      <c r="E12" s="31"/>
      <c r="F12" s="31"/>
      <c r="G12" s="31"/>
      <c r="H12" s="31"/>
    </row>
    <row r="14" spans="1:8" ht="33.950000000000003" customHeight="1" x14ac:dyDescent="0.25">
      <c r="A14" s="33" t="s">
        <v>10</v>
      </c>
      <c r="B14" s="31"/>
      <c r="C14" s="35" t="s">
        <v>11</v>
      </c>
      <c r="D14" s="31"/>
      <c r="E14" s="31"/>
      <c r="F14" s="31"/>
      <c r="G14" s="31"/>
      <c r="H14" s="31"/>
    </row>
    <row r="16" spans="1:8" ht="33.950000000000003" customHeight="1" x14ac:dyDescent="0.25">
      <c r="A16" s="33" t="s">
        <v>12</v>
      </c>
      <c r="B16" s="31"/>
      <c r="C16" s="35" t="s">
        <v>13</v>
      </c>
      <c r="D16" s="31"/>
      <c r="E16" s="31"/>
      <c r="F16" s="31"/>
      <c r="G16" s="31"/>
      <c r="H16" s="31"/>
    </row>
    <row r="19" spans="1:8" x14ac:dyDescent="0.25">
      <c r="A19" s="34" t="s">
        <v>14</v>
      </c>
      <c r="B19" s="31"/>
      <c r="C19" s="31"/>
      <c r="D19" s="31"/>
      <c r="E19" s="31"/>
      <c r="F19" s="31"/>
      <c r="G19" s="31"/>
      <c r="H19" s="31"/>
    </row>
    <row r="20" spans="1:8" x14ac:dyDescent="0.25">
      <c r="A20" s="31"/>
      <c r="B20" s="31"/>
      <c r="C20" s="31"/>
      <c r="D20" s="31"/>
      <c r="E20" s="31"/>
      <c r="F20" s="31"/>
      <c r="G20" s="31"/>
      <c r="H20" s="31"/>
    </row>
    <row r="21" spans="1:8" x14ac:dyDescent="0.25">
      <c r="A21" s="31"/>
      <c r="B21" s="31"/>
      <c r="C21" s="31"/>
      <c r="D21" s="31"/>
      <c r="E21" s="31"/>
      <c r="F21" s="31"/>
      <c r="G21" s="31"/>
      <c r="H21" s="31"/>
    </row>
  </sheetData>
  <mergeCells count="14">
    <mergeCell ref="A1:H2"/>
    <mergeCell ref="A8:B8"/>
    <mergeCell ref="A6:B6"/>
    <mergeCell ref="A12:B12"/>
    <mergeCell ref="A19:H21"/>
    <mergeCell ref="A10:B10"/>
    <mergeCell ref="C8:H8"/>
    <mergeCell ref="A14:B14"/>
    <mergeCell ref="C12:H12"/>
    <mergeCell ref="C6:H6"/>
    <mergeCell ref="C10:H10"/>
    <mergeCell ref="C16:H16"/>
    <mergeCell ref="A16:B16"/>
    <mergeCell ref="C14:H1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2"/>
  <sheetViews>
    <sheetView showGridLines="0" workbookViewId="0">
      <pane ySplit="10" topLeftCell="A11" activePane="bottomLeft" state="frozen"/>
      <selection pane="bottomLeft" activeCell="E19" sqref="E19"/>
    </sheetView>
  </sheetViews>
  <sheetFormatPr baseColWidth="10" defaultColWidth="9.140625" defaultRowHeight="15" x14ac:dyDescent="0.25"/>
  <cols>
    <col min="1" max="1" width="24" customWidth="1"/>
    <col min="2" max="2" width="22" customWidth="1"/>
    <col min="3" max="3" width="18" customWidth="1"/>
    <col min="4" max="4" width="22" customWidth="1"/>
    <col min="5" max="5" width="34" customWidth="1"/>
    <col min="6" max="6" width="3" customWidth="1"/>
  </cols>
  <sheetData>
    <row r="1" spans="1:6" x14ac:dyDescent="0.25">
      <c r="A1" s="32" t="s">
        <v>15</v>
      </c>
      <c r="B1" s="31"/>
      <c r="C1" s="31"/>
      <c r="D1" s="31"/>
      <c r="E1" s="31"/>
      <c r="F1" s="31"/>
    </row>
    <row r="2" spans="1:6" x14ac:dyDescent="0.25">
      <c r="A2" s="31"/>
      <c r="B2" s="31"/>
      <c r="C2" s="31"/>
      <c r="D2" s="31"/>
      <c r="E2" s="31"/>
      <c r="F2" s="31"/>
    </row>
    <row r="4" spans="1:6" x14ac:dyDescent="0.25">
      <c r="A4" s="2" t="s">
        <v>16</v>
      </c>
      <c r="B4" s="12" t="s">
        <v>138</v>
      </c>
    </row>
    <row r="5" spans="1:6" x14ac:dyDescent="0.25">
      <c r="A5" s="2" t="s">
        <v>17</v>
      </c>
      <c r="B5" s="12"/>
    </row>
    <row r="6" spans="1:6" x14ac:dyDescent="0.25">
      <c r="A6" s="2" t="s">
        <v>18</v>
      </c>
      <c r="B6" s="13">
        <v>875147</v>
      </c>
    </row>
    <row r="7" spans="1:6" x14ac:dyDescent="0.25">
      <c r="A7" s="2" t="s">
        <v>136</v>
      </c>
      <c r="B7" s="13">
        <v>645632</v>
      </c>
    </row>
    <row r="8" spans="1:6" x14ac:dyDescent="0.25">
      <c r="A8" s="2" t="s">
        <v>19</v>
      </c>
      <c r="B8" s="14">
        <f>140*3</f>
        <v>420</v>
      </c>
    </row>
    <row r="9" spans="1:6" x14ac:dyDescent="0.25">
      <c r="A9" t="s">
        <v>20</v>
      </c>
      <c r="B9" s="15">
        <v>3</v>
      </c>
    </row>
    <row r="11" spans="1:6" ht="30" customHeight="1" x14ac:dyDescent="0.25">
      <c r="A11" s="16" t="s">
        <v>21</v>
      </c>
      <c r="B11" s="16" t="s">
        <v>22</v>
      </c>
      <c r="C11" s="16" t="s">
        <v>23</v>
      </c>
      <c r="D11" s="16" t="s">
        <v>24</v>
      </c>
      <c r="E11" s="16" t="s">
        <v>25</v>
      </c>
    </row>
    <row r="12" spans="1:6" x14ac:dyDescent="0.25">
      <c r="A12" s="12" t="s">
        <v>26</v>
      </c>
      <c r="B12" s="17">
        <v>1299</v>
      </c>
      <c r="C12" s="12" t="s">
        <v>27</v>
      </c>
      <c r="D12" s="14">
        <v>420</v>
      </c>
      <c r="E12" s="3" t="s">
        <v>28</v>
      </c>
    </row>
    <row r="13" spans="1:6" x14ac:dyDescent="0.25">
      <c r="A13" s="12" t="s">
        <v>29</v>
      </c>
      <c r="B13" s="17">
        <v>254</v>
      </c>
      <c r="C13" s="12" t="s">
        <v>30</v>
      </c>
      <c r="D13" s="14">
        <v>140</v>
      </c>
      <c r="E13" s="3"/>
    </row>
    <row r="14" spans="1:6" x14ac:dyDescent="0.25">
      <c r="A14" s="12" t="s">
        <v>31</v>
      </c>
      <c r="B14" s="17">
        <v>205</v>
      </c>
      <c r="C14" s="12" t="s">
        <v>30</v>
      </c>
      <c r="D14" s="14">
        <v>70</v>
      </c>
      <c r="E14" s="3" t="s">
        <v>32</v>
      </c>
    </row>
    <row r="15" spans="1:6" x14ac:dyDescent="0.25">
      <c r="A15" s="12" t="s">
        <v>33</v>
      </c>
      <c r="B15" s="17">
        <v>205</v>
      </c>
      <c r="C15" s="12" t="s">
        <v>30</v>
      </c>
      <c r="D15" s="14">
        <v>70</v>
      </c>
      <c r="E15" s="3"/>
    </row>
    <row r="16" spans="1:6" x14ac:dyDescent="0.25">
      <c r="A16" s="12" t="s">
        <v>34</v>
      </c>
      <c r="B16" s="17">
        <v>0</v>
      </c>
      <c r="C16" s="12" t="s">
        <v>30</v>
      </c>
      <c r="D16" s="14">
        <v>0</v>
      </c>
      <c r="E16" s="3"/>
    </row>
    <row r="17" spans="1:5" x14ac:dyDescent="0.25">
      <c r="A17" s="12" t="s">
        <v>35</v>
      </c>
      <c r="B17" s="17">
        <v>0</v>
      </c>
      <c r="C17" s="12" t="s">
        <v>30</v>
      </c>
      <c r="D17" s="14">
        <v>0</v>
      </c>
      <c r="E17" s="3"/>
    </row>
    <row r="18" spans="1:5" x14ac:dyDescent="0.25">
      <c r="A18" s="12" t="s">
        <v>36</v>
      </c>
      <c r="B18" s="17">
        <v>0</v>
      </c>
      <c r="C18" s="12" t="s">
        <v>30</v>
      </c>
      <c r="D18" s="14">
        <v>0</v>
      </c>
      <c r="E18" s="3"/>
    </row>
    <row r="19" spans="1:5" x14ac:dyDescent="0.25">
      <c r="A19" s="12" t="s">
        <v>37</v>
      </c>
      <c r="B19" s="17">
        <v>0</v>
      </c>
      <c r="C19" s="12" t="s">
        <v>30</v>
      </c>
      <c r="D19" s="14">
        <v>0</v>
      </c>
      <c r="E19" s="3"/>
    </row>
    <row r="22" spans="1:5" x14ac:dyDescent="0.25">
      <c r="A22" t="s">
        <v>38</v>
      </c>
      <c r="B22" t="s">
        <v>39</v>
      </c>
      <c r="C22" s="18" t="str">
        <f>IF(COUNTIF(C12:C19,"Sí")=1,"OK","REVISAR")</f>
        <v>OK</v>
      </c>
    </row>
  </sheetData>
  <mergeCells count="1">
    <mergeCell ref="A1:F2"/>
  </mergeCells>
  <dataValidations count="1">
    <dataValidation type="list" sqref="C12:C19" xr:uid="{00000000-0002-0000-0100-000000000000}">
      <formula1>"Sí,No"</formula1>
    </dataValidation>
  </dataValidations>
  <pageMargins left="0.25" right="0.25" top="1" bottom="1" header="0.5" footer="0.5"/>
  <pageSetup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3"/>
  <sheetViews>
    <sheetView showGridLines="0" workbookViewId="0">
      <pane ySplit="6" topLeftCell="A7" activePane="bottomLeft" state="frozen"/>
      <selection pane="bottomLeft" activeCell="E26" sqref="E26"/>
    </sheetView>
  </sheetViews>
  <sheetFormatPr baseColWidth="10" defaultColWidth="9.140625" defaultRowHeight="15" x14ac:dyDescent="0.25"/>
  <cols>
    <col min="1" max="1" width="22" customWidth="1"/>
    <col min="2" max="2" width="18" customWidth="1"/>
    <col min="3" max="3" width="14" customWidth="1"/>
    <col min="4" max="4" width="22" customWidth="1"/>
    <col min="5" max="8" width="17" customWidth="1"/>
    <col min="9" max="9" width="36" customWidth="1"/>
    <col min="10" max="10" width="38" customWidth="1"/>
  </cols>
  <sheetData>
    <row r="1" spans="1:10" x14ac:dyDescent="0.25">
      <c r="A1" s="32" t="s">
        <v>40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</row>
    <row r="4" spans="1:10" x14ac:dyDescent="0.25">
      <c r="A4" s="30" t="s">
        <v>41</v>
      </c>
      <c r="B4" s="31"/>
      <c r="C4" s="31"/>
      <c r="D4" s="31"/>
      <c r="E4" s="31"/>
      <c r="F4" s="31"/>
      <c r="G4" s="31"/>
      <c r="H4" s="31"/>
      <c r="I4" s="31"/>
      <c r="J4" s="31"/>
    </row>
    <row r="6" spans="1:10" ht="30" x14ac:dyDescent="0.25">
      <c r="A6" s="19" t="s">
        <v>42</v>
      </c>
      <c r="B6" s="19" t="s">
        <v>43</v>
      </c>
      <c r="C6" s="19" t="s">
        <v>44</v>
      </c>
      <c r="D6" s="19" t="s">
        <v>45</v>
      </c>
      <c r="E6" s="19" t="s">
        <v>46</v>
      </c>
      <c r="F6" s="19" t="s">
        <v>47</v>
      </c>
      <c r="G6" s="19" t="s">
        <v>48</v>
      </c>
      <c r="H6" s="19" t="s">
        <v>49</v>
      </c>
      <c r="I6" s="19" t="s">
        <v>50</v>
      </c>
      <c r="J6" s="19" t="s">
        <v>51</v>
      </c>
    </row>
    <row r="7" spans="1:10" x14ac:dyDescent="0.25">
      <c r="A7" s="9" t="s">
        <v>52</v>
      </c>
      <c r="B7" s="20">
        <v>4.6399999999999997</v>
      </c>
      <c r="C7" s="21">
        <v>1</v>
      </c>
      <c r="D7" s="21">
        <v>164</v>
      </c>
      <c r="E7" s="10">
        <f>60/D7</f>
        <v>0.36585365853658536</v>
      </c>
      <c r="F7" s="22">
        <v>0</v>
      </c>
      <c r="G7" s="22">
        <v>0.3</v>
      </c>
      <c r="H7" s="22">
        <v>0.2</v>
      </c>
      <c r="I7" s="10" t="s">
        <v>53</v>
      </c>
      <c r="J7" s="10"/>
    </row>
    <row r="8" spans="1:10" ht="30" x14ac:dyDescent="0.25">
      <c r="A8" s="9" t="s">
        <v>54</v>
      </c>
      <c r="B8" s="20">
        <v>17.25</v>
      </c>
      <c r="C8" s="21">
        <v>2</v>
      </c>
      <c r="D8" s="21">
        <v>94</v>
      </c>
      <c r="E8" s="10">
        <f>60/D8</f>
        <v>0.63829787234042556</v>
      </c>
      <c r="F8" s="22">
        <v>0.4</v>
      </c>
      <c r="G8" s="22">
        <v>0.3</v>
      </c>
      <c r="H8" s="22">
        <v>0.2</v>
      </c>
      <c r="I8" s="10" t="s">
        <v>55</v>
      </c>
      <c r="J8" s="10" t="s">
        <v>56</v>
      </c>
    </row>
    <row r="9" spans="1:10" ht="30" x14ac:dyDescent="0.25">
      <c r="A9" s="9" t="s">
        <v>57</v>
      </c>
      <c r="B9" s="20">
        <v>14.42</v>
      </c>
      <c r="C9" s="21">
        <v>3</v>
      </c>
      <c r="D9" s="21">
        <v>60</v>
      </c>
      <c r="E9" s="10">
        <f>60/D9</f>
        <v>1</v>
      </c>
      <c r="F9" s="22">
        <v>0.4</v>
      </c>
      <c r="G9" s="22">
        <v>0.3</v>
      </c>
      <c r="H9" s="22">
        <v>0.2</v>
      </c>
      <c r="I9" s="10" t="s">
        <v>53</v>
      </c>
      <c r="J9" s="10" t="s">
        <v>58</v>
      </c>
    </row>
    <row r="12" spans="1:10" x14ac:dyDescent="0.25">
      <c r="A12" s="23" t="s">
        <v>59</v>
      </c>
      <c r="B12" s="36" t="s">
        <v>60</v>
      </c>
      <c r="C12" s="31"/>
      <c r="D12" s="31"/>
      <c r="E12" s="31"/>
      <c r="F12" s="31"/>
      <c r="G12" s="31"/>
      <c r="H12" s="31"/>
      <c r="I12" s="31"/>
      <c r="J12" s="31"/>
    </row>
    <row r="13" spans="1:10" x14ac:dyDescent="0.25">
      <c r="B13" s="31"/>
      <c r="C13" s="31"/>
      <c r="D13" s="31"/>
      <c r="E13" s="31"/>
      <c r="F13" s="31"/>
      <c r="G13" s="31"/>
      <c r="H13" s="31"/>
      <c r="I13" s="31"/>
      <c r="J13" s="31"/>
    </row>
  </sheetData>
  <mergeCells count="3">
    <mergeCell ref="A4:J4"/>
    <mergeCell ref="A1:J2"/>
    <mergeCell ref="B12:J13"/>
  </mergeCells>
  <pageMargins left="0.75" right="0.75" top="1" bottom="1" header="0.5" footer="0.5"/>
  <pageSetup fitToHeigh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6"/>
  <sheetViews>
    <sheetView showGridLines="0" tabSelected="1" topLeftCell="M1" workbookViewId="0">
      <pane ySplit="6" topLeftCell="A7" activePane="bottomLeft" state="frozen"/>
      <selection pane="bottomLeft" activeCell="AB8" sqref="AB8"/>
    </sheetView>
  </sheetViews>
  <sheetFormatPr baseColWidth="10" defaultColWidth="9.140625" defaultRowHeight="15" x14ac:dyDescent="0.25"/>
  <cols>
    <col min="1" max="1" width="11" customWidth="1"/>
    <col min="2" max="2" width="18" customWidth="1"/>
    <col min="3" max="3" width="16" customWidth="1"/>
    <col min="4" max="4" width="11" customWidth="1"/>
    <col min="5" max="7" width="14" customWidth="1"/>
    <col min="8" max="9" width="18" customWidth="1"/>
    <col min="10" max="10" width="19" customWidth="1"/>
    <col min="11" max="17" width="14" customWidth="1"/>
    <col min="18" max="18" width="18" customWidth="1"/>
    <col min="19" max="19" width="16" customWidth="1"/>
    <col min="20" max="20" width="14" customWidth="1"/>
    <col min="21" max="21" width="17" customWidth="1"/>
    <col min="22" max="22" width="14" customWidth="1"/>
    <col min="23" max="23" width="18" customWidth="1"/>
    <col min="24" max="24" width="14" customWidth="1"/>
    <col min="25" max="25" width="16" customWidth="1"/>
    <col min="26" max="26" width="18" customWidth="1"/>
    <col min="27" max="27" width="20" customWidth="1"/>
    <col min="28" max="28" width="13" customWidth="1"/>
    <col min="29" max="29" width="14" customWidth="1"/>
  </cols>
  <sheetData>
    <row r="1" spans="1:29" x14ac:dyDescent="0.25">
      <c r="A1" s="32" t="s">
        <v>61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4" spans="1:29" x14ac:dyDescent="0.25">
      <c r="A4" s="30" t="s">
        <v>62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6" spans="1:29" ht="57.95" customHeight="1" x14ac:dyDescent="0.25">
      <c r="A6" s="24" t="s">
        <v>63</v>
      </c>
      <c r="B6" s="24" t="s">
        <v>42</v>
      </c>
      <c r="C6" s="24" t="s">
        <v>64</v>
      </c>
      <c r="D6" s="24" t="s">
        <v>65</v>
      </c>
      <c r="E6" s="24" t="s">
        <v>66</v>
      </c>
      <c r="F6" s="24" t="s">
        <v>67</v>
      </c>
      <c r="G6" s="24" t="s">
        <v>68</v>
      </c>
      <c r="H6" s="24" t="s">
        <v>69</v>
      </c>
      <c r="I6" s="24" t="s">
        <v>70</v>
      </c>
      <c r="J6" s="24" t="s">
        <v>71</v>
      </c>
      <c r="K6" s="24" t="s">
        <v>72</v>
      </c>
      <c r="L6" s="24" t="s">
        <v>73</v>
      </c>
      <c r="M6" s="24" t="s">
        <v>74</v>
      </c>
      <c r="N6" s="24" t="s">
        <v>75</v>
      </c>
      <c r="O6" s="24" t="s">
        <v>76</v>
      </c>
      <c r="P6" s="24" t="s">
        <v>77</v>
      </c>
      <c r="Q6" s="24" t="s">
        <v>78</v>
      </c>
      <c r="R6" s="24" t="s">
        <v>79</v>
      </c>
      <c r="S6" s="24" t="s">
        <v>80</v>
      </c>
      <c r="T6" s="24" t="s">
        <v>81</v>
      </c>
      <c r="U6" s="24" t="s">
        <v>82</v>
      </c>
      <c r="V6" s="24" t="s">
        <v>83</v>
      </c>
      <c r="W6" s="24" t="s">
        <v>84</v>
      </c>
      <c r="X6" s="24" t="s">
        <v>85</v>
      </c>
      <c r="Y6" s="24" t="s">
        <v>86</v>
      </c>
      <c r="Z6" s="24" t="s">
        <v>87</v>
      </c>
      <c r="AA6" s="24" t="s">
        <v>88</v>
      </c>
      <c r="AB6" s="24" t="s">
        <v>89</v>
      </c>
      <c r="AC6" s="24" t="s">
        <v>90</v>
      </c>
    </row>
    <row r="7" spans="1:29" x14ac:dyDescent="0.25">
      <c r="A7" s="11" t="s">
        <v>91</v>
      </c>
      <c r="B7" s="25" t="s">
        <v>54</v>
      </c>
      <c r="C7" s="25"/>
      <c r="D7" s="26">
        <v>1200</v>
      </c>
      <c r="E7" s="27"/>
      <c r="F7" s="5">
        <f>IFERROR(VLOOKUP($B7,Catalogo_Productos!$A$7:$J$9,2,FALSE),0)</f>
        <v>17.25</v>
      </c>
      <c r="G7" s="5">
        <f t="shared" ref="G7:G26" si="0">IF($D7="","",$D7*$F7)</f>
        <v>20700</v>
      </c>
      <c r="H7" s="4">
        <f>IFERROR(VLOOKUP($B7,Catalogo_Productos!$A$7:$J$9,4,FALSE),0)</f>
        <v>94</v>
      </c>
      <c r="I7" s="4">
        <f t="shared" ref="I7:I26" si="1">IFERROR($D7/$H7,0)</f>
        <v>12.76595744680851</v>
      </c>
      <c r="J7" s="4">
        <f>IFERROR($I7/Parametros!$B$9,0)</f>
        <v>4.2553191489361701</v>
      </c>
      <c r="K7" s="4">
        <f>IFERROR($D7*VLOOKUP($B7,Catalogo_Productos!$A$7:$J$9,6,FALSE)/60,0)</f>
        <v>8</v>
      </c>
      <c r="L7" s="4">
        <f>IFERROR($D7*VLOOKUP($B7,Catalogo_Productos!$A$7:$J$9,7,FALSE)/60,0)</f>
        <v>6</v>
      </c>
      <c r="M7" s="4">
        <f>IFERROR($D7*VLOOKUP($B7,Catalogo_Productos!$A$7:$J$9,8,FALSE)/60,0)</f>
        <v>4</v>
      </c>
      <c r="N7" s="5">
        <f>IFERROR($I7*VLOOKUP("Inyección",Parametros!$A$12:$B$19,2,FALSE),0)</f>
        <v>16582.978723404256</v>
      </c>
      <c r="O7" s="5">
        <f>IFERROR($K7*VLOOKUP("Ensamble",Parametros!$A$12:$B$19,2,FALSE),0)</f>
        <v>2032</v>
      </c>
      <c r="P7" s="5">
        <f>IFERROR($L7*VLOOKUP("Inspección",Parametros!$A$12:$B$19,2,FALSE),0)</f>
        <v>1230</v>
      </c>
      <c r="Q7" s="5">
        <f>IFERROR($M7*VLOOKUP("Empaque",Parametros!$A$12:$B$19,2,FALSE),0)</f>
        <v>820</v>
      </c>
      <c r="R7" s="5">
        <f t="shared" ref="R7:R26" si="2">SUM($N7:$Q7)</f>
        <v>20664.978723404256</v>
      </c>
      <c r="S7" s="5">
        <f t="shared" ref="S7:S26" si="3">$G7+$D7*$E7+$R7</f>
        <v>41364.97872340426</v>
      </c>
      <c r="T7" s="5">
        <f t="shared" ref="T7:T26" si="4">IFERROR($S7/$D7,0)</f>
        <v>34.470815602836886</v>
      </c>
      <c r="U7" s="28">
        <f>T7*1.25</f>
        <v>43.088519503546109</v>
      </c>
      <c r="V7" s="5">
        <f t="shared" ref="V7:V26" si="5">IF($D7="","",$D7*$U7)</f>
        <v>51706.223404255332</v>
      </c>
      <c r="W7" s="5">
        <f t="shared" ref="W7:W26" si="6">IF($D7="","",$V7-$G7-$D7*$E7)</f>
        <v>31006.223404255332</v>
      </c>
      <c r="X7" s="6">
        <f t="shared" ref="X7:X26" si="7">IFERROR($W7/$V7,0)</f>
        <v>0.59966134370013913</v>
      </c>
      <c r="Y7" s="4">
        <f>IF(INDEX(Parametros!$C$12:$C$19,MATCH("Sí",Parametros!$C$12:$C$19,0))="Sí",IF(INDEX(Parametros!$A$12:$A$19,MATCH("Sí",Parametros!$C$12:$C$19,0))="Inyección",$I7,IF(INDEX(Parametros!$A$12:$A$19,MATCH("Sí",Parametros!$C$12:$C$19,0))="Ensamble",$K7,IF(INDEX(Parametros!$A$12:$A$19,MATCH("Sí",Parametros!$C$12:$C$19,0))="Inspección",$L7,IF(INDEX(Parametros!$A$12:$A$19,MATCH("Sí",Parametros!$C$12:$C$19,0))="Empaque",$M7,0)))),0)</f>
        <v>12.76595744680851</v>
      </c>
      <c r="Z7" s="5">
        <f t="shared" ref="Z7:Z26" si="8">IFERROR($W7/$Y7,0)</f>
        <v>2428.8208333333346</v>
      </c>
      <c r="AA7" s="28"/>
      <c r="AB7" s="7" t="s">
        <v>92</v>
      </c>
      <c r="AC7" s="8">
        <f>COUNTIF($AB$7:$AB7,"GANADO")</f>
        <v>1</v>
      </c>
    </row>
    <row r="8" spans="1:29" x14ac:dyDescent="0.25">
      <c r="A8" s="11" t="s">
        <v>93</v>
      </c>
      <c r="B8" s="25" t="s">
        <v>52</v>
      </c>
      <c r="C8" s="25"/>
      <c r="D8" s="26">
        <v>1200</v>
      </c>
      <c r="E8" s="27"/>
      <c r="F8" s="5">
        <f>IFERROR(VLOOKUP($B8,Catalogo_Productos!$A$7:$J$9,2,FALSE),0)</f>
        <v>4.6399999999999997</v>
      </c>
      <c r="G8" s="5">
        <f t="shared" si="0"/>
        <v>5568</v>
      </c>
      <c r="H8" s="4">
        <f>IFERROR(VLOOKUP($B8,Catalogo_Productos!$A$7:$J$9,4,FALSE),0)</f>
        <v>164</v>
      </c>
      <c r="I8" s="4">
        <f t="shared" si="1"/>
        <v>7.3170731707317076</v>
      </c>
      <c r="J8" s="4">
        <f>IFERROR($I8/Parametros!$B$9,0)</f>
        <v>2.4390243902439024</v>
      </c>
      <c r="K8" s="4">
        <f>IFERROR($D8*VLOOKUP($B8,Catalogo_Productos!$A$7:$J$9,6,FALSE)/60,0)</f>
        <v>0</v>
      </c>
      <c r="L8" s="4">
        <f>IFERROR($D8*VLOOKUP($B8,Catalogo_Productos!$A$7:$J$9,7,FALSE)/60,0)</f>
        <v>6</v>
      </c>
      <c r="M8" s="4">
        <f>IFERROR($D8*VLOOKUP($B8,Catalogo_Productos!$A$7:$J$9,8,FALSE)/60,0)</f>
        <v>4</v>
      </c>
      <c r="N8" s="5">
        <f>IFERROR($I8*VLOOKUP("Inyección",Parametros!$A$12:$B$19,2,FALSE),0)</f>
        <v>9504.8780487804888</v>
      </c>
      <c r="O8" s="5">
        <f>IFERROR($K8*VLOOKUP("Ensamble",Parametros!$A$12:$B$19,2,FALSE),0)</f>
        <v>0</v>
      </c>
      <c r="P8" s="5">
        <f>IFERROR($L8*VLOOKUP("Inspección",Parametros!$A$12:$B$19,2,FALSE),0)</f>
        <v>1230</v>
      </c>
      <c r="Q8" s="5">
        <f>IFERROR($M8*VLOOKUP("Empaque",Parametros!$A$12:$B$19,2,FALSE),0)</f>
        <v>820</v>
      </c>
      <c r="R8" s="5">
        <f t="shared" si="2"/>
        <v>11554.878048780489</v>
      </c>
      <c r="S8" s="5">
        <f t="shared" si="3"/>
        <v>17122.878048780491</v>
      </c>
      <c r="T8" s="5">
        <f t="shared" si="4"/>
        <v>14.269065040650409</v>
      </c>
      <c r="U8" s="28">
        <f>T8*1.35</f>
        <v>19.263237804878052</v>
      </c>
      <c r="V8" s="5">
        <f t="shared" si="5"/>
        <v>23115.885365853665</v>
      </c>
      <c r="W8" s="5">
        <f t="shared" si="6"/>
        <v>17547.885365853665</v>
      </c>
      <c r="X8" s="6">
        <f t="shared" si="7"/>
        <v>0.75912668228468805</v>
      </c>
      <c r="Y8" s="4">
        <f>IF(INDEX(Parametros!$C$12:$C$19,MATCH("Sí",Parametros!$C$12:$C$19,0))="Sí",IF(INDEX(Parametros!$A$12:$A$19,MATCH("Sí",Parametros!$C$12:$C$19,0))="Inyección",$I8,IF(INDEX(Parametros!$A$12:$A$19,MATCH("Sí",Parametros!$C$12:$C$19,0))="Ensamble",$K8,IF(INDEX(Parametros!$A$12:$A$19,MATCH("Sí",Parametros!$C$12:$C$19,0))="Inspección",$L8,IF(INDEX(Parametros!$A$12:$A$19,MATCH("Sí",Parametros!$C$12:$C$19,0))="Empaque",$M8,0)))),0)</f>
        <v>7.3170731707317076</v>
      </c>
      <c r="Z8" s="5">
        <f t="shared" si="8"/>
        <v>2398.2110000000007</v>
      </c>
      <c r="AA8" s="28"/>
      <c r="AB8" s="7" t="s">
        <v>92</v>
      </c>
      <c r="AC8" s="8">
        <f>COUNTIF($AB$7:$AB8,"GANADO")</f>
        <v>2</v>
      </c>
    </row>
    <row r="9" spans="1:29" x14ac:dyDescent="0.25">
      <c r="A9" s="11" t="s">
        <v>94</v>
      </c>
      <c r="B9" s="25" t="s">
        <v>57</v>
      </c>
      <c r="C9" s="25"/>
      <c r="D9" s="26">
        <v>600</v>
      </c>
      <c r="E9" s="27"/>
      <c r="F9" s="5">
        <f>IFERROR(VLOOKUP($B9,Catalogo_Productos!$A$7:$J$9,2,FALSE),0)</f>
        <v>14.42</v>
      </c>
      <c r="G9" s="5">
        <f t="shared" si="0"/>
        <v>8652</v>
      </c>
      <c r="H9" s="4">
        <f>IFERROR(VLOOKUP($B9,Catalogo_Productos!$A$7:$J$9,4,FALSE),0)</f>
        <v>60</v>
      </c>
      <c r="I9" s="4">
        <f t="shared" si="1"/>
        <v>10</v>
      </c>
      <c r="J9" s="4">
        <f>IFERROR($I9/Parametros!$B$9,0)</f>
        <v>3.3333333333333335</v>
      </c>
      <c r="K9" s="4">
        <f>IFERROR($D9*VLOOKUP($B9,Catalogo_Productos!$A$7:$J$9,6,FALSE)/60,0)</f>
        <v>4</v>
      </c>
      <c r="L9" s="4">
        <f>IFERROR($D9*VLOOKUP($B9,Catalogo_Productos!$A$7:$J$9,7,FALSE)/60,0)</f>
        <v>3</v>
      </c>
      <c r="M9" s="4">
        <f>IFERROR($D9*VLOOKUP($B9,Catalogo_Productos!$A$7:$J$9,8,FALSE)/60,0)</f>
        <v>2</v>
      </c>
      <c r="N9" s="5">
        <f>IFERROR($I9*VLOOKUP("Inyección",Parametros!$A$12:$B$19,2,FALSE),0)</f>
        <v>12990</v>
      </c>
      <c r="O9" s="5">
        <f>IFERROR($K9*VLOOKUP("Ensamble",Parametros!$A$12:$B$19,2,FALSE),0)</f>
        <v>1016</v>
      </c>
      <c r="P9" s="5">
        <f>IFERROR($L9*VLOOKUP("Inspección",Parametros!$A$12:$B$19,2,FALSE),0)</f>
        <v>615</v>
      </c>
      <c r="Q9" s="5">
        <f>IFERROR($M9*VLOOKUP("Empaque",Parametros!$A$12:$B$19,2,FALSE),0)</f>
        <v>410</v>
      </c>
      <c r="R9" s="5">
        <f t="shared" si="2"/>
        <v>15031</v>
      </c>
      <c r="S9" s="5">
        <f t="shared" si="3"/>
        <v>23683</v>
      </c>
      <c r="T9" s="5">
        <f t="shared" si="4"/>
        <v>39.471666666666664</v>
      </c>
      <c r="U9" s="28">
        <f>T9*1.37</f>
        <v>54.076183333333333</v>
      </c>
      <c r="V9" s="5">
        <f t="shared" si="5"/>
        <v>32445.71</v>
      </c>
      <c r="W9" s="5">
        <f t="shared" si="6"/>
        <v>23793.71</v>
      </c>
      <c r="X9" s="6">
        <f t="shared" si="7"/>
        <v>0.73333916872215155</v>
      </c>
      <c r="Y9" s="4">
        <f>IF(INDEX(Parametros!$C$12:$C$19,MATCH("Sí",Parametros!$C$12:$C$19,0))="Sí",IF(INDEX(Parametros!$A$12:$A$19,MATCH("Sí",Parametros!$C$12:$C$19,0))="Inyección",$I9,IF(INDEX(Parametros!$A$12:$A$19,MATCH("Sí",Parametros!$C$12:$C$19,0))="Ensamble",$K9,IF(INDEX(Parametros!$A$12:$A$19,MATCH("Sí",Parametros!$C$12:$C$19,0))="Inspección",$L9,IF(INDEX(Parametros!$A$12:$A$19,MATCH("Sí",Parametros!$C$12:$C$19,0))="Empaque",$M9,0)))),0)</f>
        <v>10</v>
      </c>
      <c r="Z9" s="5">
        <f t="shared" si="8"/>
        <v>2379.3710000000001</v>
      </c>
      <c r="AA9" s="28"/>
      <c r="AB9" s="7" t="s">
        <v>92</v>
      </c>
      <c r="AC9" s="8">
        <f>COUNTIF($AB$7:$AB9,"GANADO")</f>
        <v>3</v>
      </c>
    </row>
    <row r="10" spans="1:29" x14ac:dyDescent="0.25">
      <c r="A10" s="11" t="s">
        <v>95</v>
      </c>
      <c r="B10" s="25"/>
      <c r="C10" s="25"/>
      <c r="D10" s="26"/>
      <c r="E10" s="27"/>
      <c r="F10" s="5">
        <f>IFERROR(VLOOKUP($B10,Catalogo_Productos!$A$7:$J$9,2,FALSE),0)</f>
        <v>0</v>
      </c>
      <c r="G10" s="5" t="str">
        <f t="shared" si="0"/>
        <v/>
      </c>
      <c r="H10" s="4">
        <f>IFERROR(VLOOKUP($B10,Catalogo_Productos!$A$7:$J$9,4,FALSE),0)</f>
        <v>0</v>
      </c>
      <c r="I10" s="4">
        <f t="shared" si="1"/>
        <v>0</v>
      </c>
      <c r="J10" s="4">
        <f>IFERROR($I10/Parametros!$B$9,0)</f>
        <v>0</v>
      </c>
      <c r="K10" s="4">
        <f>IFERROR($D10*VLOOKUP($B10,Catalogo_Productos!$A$7:$J$9,6,FALSE)/60,0)</f>
        <v>0</v>
      </c>
      <c r="L10" s="4">
        <f>IFERROR($D10*VLOOKUP($B10,Catalogo_Productos!$A$7:$J$9,7,FALSE)/60,0)</f>
        <v>0</v>
      </c>
      <c r="M10" s="4">
        <f>IFERROR($D10*VLOOKUP($B10,Catalogo_Productos!$A$7:$J$9,8,FALSE)/60,0)</f>
        <v>0</v>
      </c>
      <c r="N10" s="5">
        <f>IFERROR($I10*VLOOKUP("Inyección",Parametros!$A$12:$B$19,2,FALSE),0)</f>
        <v>0</v>
      </c>
      <c r="O10" s="5">
        <f>IFERROR($K10*VLOOKUP("Ensamble",Parametros!$A$12:$B$19,2,FALSE),0)</f>
        <v>0</v>
      </c>
      <c r="P10" s="5">
        <f>IFERROR($L10*VLOOKUP("Inspección",Parametros!$A$12:$B$19,2,FALSE),0)</f>
        <v>0</v>
      </c>
      <c r="Q10" s="5">
        <f>IFERROR($M10*VLOOKUP("Empaque",Parametros!$A$12:$B$19,2,FALSE),0)</f>
        <v>0</v>
      </c>
      <c r="R10" s="5">
        <f t="shared" si="2"/>
        <v>0</v>
      </c>
      <c r="S10" s="5" t="e">
        <f t="shared" si="3"/>
        <v>#VALUE!</v>
      </c>
      <c r="T10" s="5">
        <f t="shared" si="4"/>
        <v>0</v>
      </c>
      <c r="U10" s="28"/>
      <c r="V10" s="5" t="str">
        <f t="shared" si="5"/>
        <v/>
      </c>
      <c r="W10" s="5" t="str">
        <f t="shared" si="6"/>
        <v/>
      </c>
      <c r="X10" s="6">
        <f t="shared" si="7"/>
        <v>0</v>
      </c>
      <c r="Y10" s="4">
        <f>IF(INDEX(Parametros!$C$12:$C$19,MATCH("Sí",Parametros!$C$12:$C$19,0))="Sí",IF(INDEX(Parametros!$A$12:$A$19,MATCH("Sí",Parametros!$C$12:$C$19,0))="Inyección",$I10,IF(INDEX(Parametros!$A$12:$A$19,MATCH("Sí",Parametros!$C$12:$C$19,0))="Ensamble",$K10,IF(INDEX(Parametros!$A$12:$A$19,MATCH("Sí",Parametros!$C$12:$C$19,0))="Inspección",$L10,IF(INDEX(Parametros!$A$12:$A$19,MATCH("Sí",Parametros!$C$12:$C$19,0))="Empaque",$M10,0)))),0)</f>
        <v>0</v>
      </c>
      <c r="Z10" s="5">
        <f t="shared" si="8"/>
        <v>0</v>
      </c>
      <c r="AA10" s="28"/>
      <c r="AB10" s="7" t="str">
        <f t="shared" ref="AB10:AB26" si="9">IF(OR($U10="",$AA10=""),"",IF($U10&lt;=$AA10,"GANADO","PERDIDO"))</f>
        <v/>
      </c>
      <c r="AC10" s="8">
        <f>COUNTIF($AB$7:$AB10,"GANADO")</f>
        <v>3</v>
      </c>
    </row>
    <row r="11" spans="1:29" x14ac:dyDescent="0.25">
      <c r="A11" s="11" t="s">
        <v>96</v>
      </c>
      <c r="B11" s="25"/>
      <c r="C11" s="25"/>
      <c r="D11" s="26"/>
      <c r="E11" s="27"/>
      <c r="F11" s="5">
        <f>IFERROR(VLOOKUP($B11,Catalogo_Productos!$A$7:$J$9,2,FALSE),0)</f>
        <v>0</v>
      </c>
      <c r="G11" s="5" t="str">
        <f t="shared" si="0"/>
        <v/>
      </c>
      <c r="H11" s="4">
        <f>IFERROR(VLOOKUP($B11,Catalogo_Productos!$A$7:$J$9,4,FALSE),0)</f>
        <v>0</v>
      </c>
      <c r="I11" s="4">
        <f t="shared" si="1"/>
        <v>0</v>
      </c>
      <c r="J11" s="4">
        <f>IFERROR($I11/Parametros!$B$9,0)</f>
        <v>0</v>
      </c>
      <c r="K11" s="4">
        <f>IFERROR($D11*VLOOKUP($B11,Catalogo_Productos!$A$7:$J$9,6,FALSE)/60,0)</f>
        <v>0</v>
      </c>
      <c r="L11" s="4">
        <f>IFERROR($D11*VLOOKUP($B11,Catalogo_Productos!$A$7:$J$9,7,FALSE)/60,0)</f>
        <v>0</v>
      </c>
      <c r="M11" s="4">
        <f>IFERROR($D11*VLOOKUP($B11,Catalogo_Productos!$A$7:$J$9,8,FALSE)/60,0)</f>
        <v>0</v>
      </c>
      <c r="N11" s="5">
        <f>IFERROR($I11*VLOOKUP("Inyección",Parametros!$A$12:$B$19,2,FALSE),0)</f>
        <v>0</v>
      </c>
      <c r="O11" s="5">
        <f>IFERROR($K11*VLOOKUP("Ensamble",Parametros!$A$12:$B$19,2,FALSE),0)</f>
        <v>0</v>
      </c>
      <c r="P11" s="5">
        <f>IFERROR($L11*VLOOKUP("Inspección",Parametros!$A$12:$B$19,2,FALSE),0)</f>
        <v>0</v>
      </c>
      <c r="Q11" s="5">
        <f>IFERROR($M11*VLOOKUP("Empaque",Parametros!$A$12:$B$19,2,FALSE),0)</f>
        <v>0</v>
      </c>
      <c r="R11" s="5">
        <f t="shared" si="2"/>
        <v>0</v>
      </c>
      <c r="S11" s="5" t="e">
        <f t="shared" si="3"/>
        <v>#VALUE!</v>
      </c>
      <c r="T11" s="5">
        <f t="shared" si="4"/>
        <v>0</v>
      </c>
      <c r="U11" s="28"/>
      <c r="V11" s="5" t="str">
        <f t="shared" si="5"/>
        <v/>
      </c>
      <c r="W11" s="5" t="str">
        <f t="shared" si="6"/>
        <v/>
      </c>
      <c r="X11" s="6">
        <f t="shared" si="7"/>
        <v>0</v>
      </c>
      <c r="Y11" s="4">
        <f>IF(INDEX(Parametros!$C$12:$C$19,MATCH("Sí",Parametros!$C$12:$C$19,0))="Sí",IF(INDEX(Parametros!$A$12:$A$19,MATCH("Sí",Parametros!$C$12:$C$19,0))="Inyección",$I11,IF(INDEX(Parametros!$A$12:$A$19,MATCH("Sí",Parametros!$C$12:$C$19,0))="Ensamble",$K11,IF(INDEX(Parametros!$A$12:$A$19,MATCH("Sí",Parametros!$C$12:$C$19,0))="Inspección",$L11,IF(INDEX(Parametros!$A$12:$A$19,MATCH("Sí",Parametros!$C$12:$C$19,0))="Empaque",$M11,0)))),0)</f>
        <v>0</v>
      </c>
      <c r="Z11" s="5">
        <f t="shared" si="8"/>
        <v>0</v>
      </c>
      <c r="AA11" s="28"/>
      <c r="AB11" s="7" t="str">
        <f t="shared" si="9"/>
        <v/>
      </c>
      <c r="AC11" s="8">
        <f>COUNTIF($AB$7:$AB11,"GANADO")</f>
        <v>3</v>
      </c>
    </row>
    <row r="12" spans="1:29" x14ac:dyDescent="0.25">
      <c r="A12" s="11" t="s">
        <v>97</v>
      </c>
      <c r="B12" s="25"/>
      <c r="C12" s="25"/>
      <c r="D12" s="26"/>
      <c r="E12" s="27"/>
      <c r="F12" s="5">
        <f>IFERROR(VLOOKUP($B12,Catalogo_Productos!$A$7:$J$9,2,FALSE),0)</f>
        <v>0</v>
      </c>
      <c r="G12" s="5" t="str">
        <f t="shared" si="0"/>
        <v/>
      </c>
      <c r="H12" s="4">
        <f>IFERROR(VLOOKUP($B12,Catalogo_Productos!$A$7:$J$9,4,FALSE),0)</f>
        <v>0</v>
      </c>
      <c r="I12" s="4">
        <f t="shared" si="1"/>
        <v>0</v>
      </c>
      <c r="J12" s="4">
        <f>IFERROR($I12/Parametros!$B$9,0)</f>
        <v>0</v>
      </c>
      <c r="K12" s="4">
        <f>IFERROR($D12*VLOOKUP($B12,Catalogo_Productos!$A$7:$J$9,6,FALSE)/60,0)</f>
        <v>0</v>
      </c>
      <c r="L12" s="4">
        <f>IFERROR($D12*VLOOKUP($B12,Catalogo_Productos!$A$7:$J$9,7,FALSE)/60,0)</f>
        <v>0</v>
      </c>
      <c r="M12" s="4">
        <f>IFERROR($D12*VLOOKUP($B12,Catalogo_Productos!$A$7:$J$9,8,FALSE)/60,0)</f>
        <v>0</v>
      </c>
      <c r="N12" s="5">
        <f>IFERROR($I12*VLOOKUP("Inyección",Parametros!$A$12:$B$19,2,FALSE),0)</f>
        <v>0</v>
      </c>
      <c r="O12" s="5">
        <f>IFERROR($K12*VLOOKUP("Ensamble",Parametros!$A$12:$B$19,2,FALSE),0)</f>
        <v>0</v>
      </c>
      <c r="P12" s="5">
        <f>IFERROR($L12*VLOOKUP("Inspección",Parametros!$A$12:$B$19,2,FALSE),0)</f>
        <v>0</v>
      </c>
      <c r="Q12" s="5">
        <f>IFERROR($M12*VLOOKUP("Empaque",Parametros!$A$12:$B$19,2,FALSE),0)</f>
        <v>0</v>
      </c>
      <c r="R12" s="5">
        <f t="shared" si="2"/>
        <v>0</v>
      </c>
      <c r="S12" s="5" t="e">
        <f t="shared" si="3"/>
        <v>#VALUE!</v>
      </c>
      <c r="T12" s="5">
        <f t="shared" si="4"/>
        <v>0</v>
      </c>
      <c r="U12" s="28"/>
      <c r="V12" s="5" t="str">
        <f t="shared" si="5"/>
        <v/>
      </c>
      <c r="W12" s="5" t="str">
        <f t="shared" si="6"/>
        <v/>
      </c>
      <c r="X12" s="6">
        <f t="shared" si="7"/>
        <v>0</v>
      </c>
      <c r="Y12" s="4">
        <f>IF(INDEX(Parametros!$C$12:$C$19,MATCH("Sí",Parametros!$C$12:$C$19,0))="Sí",IF(INDEX(Parametros!$A$12:$A$19,MATCH("Sí",Parametros!$C$12:$C$19,0))="Inyección",$I12,IF(INDEX(Parametros!$A$12:$A$19,MATCH("Sí",Parametros!$C$12:$C$19,0))="Ensamble",$K12,IF(INDEX(Parametros!$A$12:$A$19,MATCH("Sí",Parametros!$C$12:$C$19,0))="Inspección",$L12,IF(INDEX(Parametros!$A$12:$A$19,MATCH("Sí",Parametros!$C$12:$C$19,0))="Empaque",$M12,0)))),0)</f>
        <v>0</v>
      </c>
      <c r="Z12" s="5">
        <f t="shared" si="8"/>
        <v>0</v>
      </c>
      <c r="AA12" s="28"/>
      <c r="AB12" s="7" t="str">
        <f t="shared" si="9"/>
        <v/>
      </c>
      <c r="AC12" s="8">
        <f>COUNTIF($AB$7:$AB12,"GANADO")</f>
        <v>3</v>
      </c>
    </row>
    <row r="13" spans="1:29" x14ac:dyDescent="0.25">
      <c r="A13" s="11" t="s">
        <v>98</v>
      </c>
      <c r="B13" s="25"/>
      <c r="C13" s="25"/>
      <c r="D13" s="26"/>
      <c r="E13" s="27"/>
      <c r="F13" s="5">
        <f>IFERROR(VLOOKUP($B13,Catalogo_Productos!$A$7:$J$9,2,FALSE),0)</f>
        <v>0</v>
      </c>
      <c r="G13" s="5" t="str">
        <f t="shared" si="0"/>
        <v/>
      </c>
      <c r="H13" s="4">
        <f>IFERROR(VLOOKUP($B13,Catalogo_Productos!$A$7:$J$9,4,FALSE),0)</f>
        <v>0</v>
      </c>
      <c r="I13" s="4">
        <f t="shared" si="1"/>
        <v>0</v>
      </c>
      <c r="J13" s="4">
        <f>IFERROR($I13/Parametros!$B$9,0)</f>
        <v>0</v>
      </c>
      <c r="K13" s="4">
        <f>IFERROR($D13*VLOOKUP($B13,Catalogo_Productos!$A$7:$J$9,6,FALSE)/60,0)</f>
        <v>0</v>
      </c>
      <c r="L13" s="4">
        <f>IFERROR($D13*VLOOKUP($B13,Catalogo_Productos!$A$7:$J$9,7,FALSE)/60,0)</f>
        <v>0</v>
      </c>
      <c r="M13" s="4">
        <f>IFERROR($D13*VLOOKUP($B13,Catalogo_Productos!$A$7:$J$9,8,FALSE)/60,0)</f>
        <v>0</v>
      </c>
      <c r="N13" s="5">
        <f>IFERROR($I13*VLOOKUP("Inyección",Parametros!$A$12:$B$19,2,FALSE),0)</f>
        <v>0</v>
      </c>
      <c r="O13" s="5">
        <f>IFERROR($K13*VLOOKUP("Ensamble",Parametros!$A$12:$B$19,2,FALSE),0)</f>
        <v>0</v>
      </c>
      <c r="P13" s="5">
        <f>IFERROR($L13*VLOOKUP("Inspección",Parametros!$A$12:$B$19,2,FALSE),0)</f>
        <v>0</v>
      </c>
      <c r="Q13" s="5">
        <f>IFERROR($M13*VLOOKUP("Empaque",Parametros!$A$12:$B$19,2,FALSE),0)</f>
        <v>0</v>
      </c>
      <c r="R13" s="5">
        <f t="shared" si="2"/>
        <v>0</v>
      </c>
      <c r="S13" s="5" t="e">
        <f t="shared" si="3"/>
        <v>#VALUE!</v>
      </c>
      <c r="T13" s="5">
        <f t="shared" si="4"/>
        <v>0</v>
      </c>
      <c r="U13" s="28"/>
      <c r="V13" s="5" t="str">
        <f t="shared" si="5"/>
        <v/>
      </c>
      <c r="W13" s="5" t="str">
        <f t="shared" si="6"/>
        <v/>
      </c>
      <c r="X13" s="6">
        <f t="shared" si="7"/>
        <v>0</v>
      </c>
      <c r="Y13" s="4">
        <f>IF(INDEX(Parametros!$C$12:$C$19,MATCH("Sí",Parametros!$C$12:$C$19,0))="Sí",IF(INDEX(Parametros!$A$12:$A$19,MATCH("Sí",Parametros!$C$12:$C$19,0))="Inyección",$I13,IF(INDEX(Parametros!$A$12:$A$19,MATCH("Sí",Parametros!$C$12:$C$19,0))="Ensamble",$K13,IF(INDEX(Parametros!$A$12:$A$19,MATCH("Sí",Parametros!$C$12:$C$19,0))="Inspección",$L13,IF(INDEX(Parametros!$A$12:$A$19,MATCH("Sí",Parametros!$C$12:$C$19,0))="Empaque",$M13,0)))),0)</f>
        <v>0</v>
      </c>
      <c r="Z13" s="5">
        <f t="shared" si="8"/>
        <v>0</v>
      </c>
      <c r="AA13" s="28"/>
      <c r="AB13" s="7" t="str">
        <f t="shared" si="9"/>
        <v/>
      </c>
      <c r="AC13" s="8">
        <f>COUNTIF($AB$7:$AB13,"GANADO")</f>
        <v>3</v>
      </c>
    </row>
    <row r="14" spans="1:29" x14ac:dyDescent="0.25">
      <c r="A14" s="11" t="s">
        <v>99</v>
      </c>
      <c r="B14" s="25"/>
      <c r="C14" s="25"/>
      <c r="D14" s="26"/>
      <c r="E14" s="27"/>
      <c r="F14" s="5">
        <f>IFERROR(VLOOKUP($B14,Catalogo_Productos!$A$7:$J$9,2,FALSE),0)</f>
        <v>0</v>
      </c>
      <c r="G14" s="5" t="str">
        <f t="shared" si="0"/>
        <v/>
      </c>
      <c r="H14" s="4">
        <f>IFERROR(VLOOKUP($B14,Catalogo_Productos!$A$7:$J$9,4,FALSE),0)</f>
        <v>0</v>
      </c>
      <c r="I14" s="4">
        <f t="shared" si="1"/>
        <v>0</v>
      </c>
      <c r="J14" s="4">
        <f>IFERROR($I14/Parametros!$B$9,0)</f>
        <v>0</v>
      </c>
      <c r="K14" s="4">
        <f>IFERROR($D14*VLOOKUP($B14,Catalogo_Productos!$A$7:$J$9,6,FALSE)/60,0)</f>
        <v>0</v>
      </c>
      <c r="L14" s="4">
        <f>IFERROR($D14*VLOOKUP($B14,Catalogo_Productos!$A$7:$J$9,7,FALSE)/60,0)</f>
        <v>0</v>
      </c>
      <c r="M14" s="4">
        <f>IFERROR($D14*VLOOKUP($B14,Catalogo_Productos!$A$7:$J$9,8,FALSE)/60,0)</f>
        <v>0</v>
      </c>
      <c r="N14" s="5">
        <f>IFERROR($I14*VLOOKUP("Inyección",Parametros!$A$12:$B$19,2,FALSE),0)</f>
        <v>0</v>
      </c>
      <c r="O14" s="5">
        <f>IFERROR($K14*VLOOKUP("Ensamble",Parametros!$A$12:$B$19,2,FALSE),0)</f>
        <v>0</v>
      </c>
      <c r="P14" s="5">
        <f>IFERROR($L14*VLOOKUP("Inspección",Parametros!$A$12:$B$19,2,FALSE),0)</f>
        <v>0</v>
      </c>
      <c r="Q14" s="5">
        <f>IFERROR($M14*VLOOKUP("Empaque",Parametros!$A$12:$B$19,2,FALSE),0)</f>
        <v>0</v>
      </c>
      <c r="R14" s="5">
        <f t="shared" si="2"/>
        <v>0</v>
      </c>
      <c r="S14" s="5" t="e">
        <f t="shared" si="3"/>
        <v>#VALUE!</v>
      </c>
      <c r="T14" s="5">
        <f t="shared" si="4"/>
        <v>0</v>
      </c>
      <c r="U14" s="28"/>
      <c r="V14" s="5" t="str">
        <f t="shared" si="5"/>
        <v/>
      </c>
      <c r="W14" s="5" t="str">
        <f t="shared" si="6"/>
        <v/>
      </c>
      <c r="X14" s="6">
        <f t="shared" si="7"/>
        <v>0</v>
      </c>
      <c r="Y14" s="4">
        <f>IF(INDEX(Parametros!$C$12:$C$19,MATCH("Sí",Parametros!$C$12:$C$19,0))="Sí",IF(INDEX(Parametros!$A$12:$A$19,MATCH("Sí",Parametros!$C$12:$C$19,0))="Inyección",$I14,IF(INDEX(Parametros!$A$12:$A$19,MATCH("Sí",Parametros!$C$12:$C$19,0))="Ensamble",$K14,IF(INDEX(Parametros!$A$12:$A$19,MATCH("Sí",Parametros!$C$12:$C$19,0))="Inspección",$L14,IF(INDEX(Parametros!$A$12:$A$19,MATCH("Sí",Parametros!$C$12:$C$19,0))="Empaque",$M14,0)))),0)</f>
        <v>0</v>
      </c>
      <c r="Z14" s="5">
        <f t="shared" si="8"/>
        <v>0</v>
      </c>
      <c r="AA14" s="28"/>
      <c r="AB14" s="7" t="str">
        <f t="shared" si="9"/>
        <v/>
      </c>
      <c r="AC14" s="8">
        <f>COUNTIF($AB$7:$AB14,"GANADO")</f>
        <v>3</v>
      </c>
    </row>
    <row r="15" spans="1:29" x14ac:dyDescent="0.25">
      <c r="A15" s="11" t="s">
        <v>100</v>
      </c>
      <c r="B15" s="25"/>
      <c r="C15" s="25"/>
      <c r="D15" s="26"/>
      <c r="E15" s="27"/>
      <c r="F15" s="5">
        <f>IFERROR(VLOOKUP($B15,Catalogo_Productos!$A$7:$J$9,2,FALSE),0)</f>
        <v>0</v>
      </c>
      <c r="G15" s="5" t="str">
        <f t="shared" si="0"/>
        <v/>
      </c>
      <c r="H15" s="4">
        <f>IFERROR(VLOOKUP($B15,Catalogo_Productos!$A$7:$J$9,4,FALSE),0)</f>
        <v>0</v>
      </c>
      <c r="I15" s="4">
        <f t="shared" si="1"/>
        <v>0</v>
      </c>
      <c r="J15" s="4">
        <f>IFERROR($I15/Parametros!$B$9,0)</f>
        <v>0</v>
      </c>
      <c r="K15" s="4">
        <f>IFERROR($D15*VLOOKUP($B15,Catalogo_Productos!$A$7:$J$9,6,FALSE)/60,0)</f>
        <v>0</v>
      </c>
      <c r="L15" s="4">
        <f>IFERROR($D15*VLOOKUP($B15,Catalogo_Productos!$A$7:$J$9,7,FALSE)/60,0)</f>
        <v>0</v>
      </c>
      <c r="M15" s="4">
        <f>IFERROR($D15*VLOOKUP($B15,Catalogo_Productos!$A$7:$J$9,8,FALSE)/60,0)</f>
        <v>0</v>
      </c>
      <c r="N15" s="5">
        <f>IFERROR($I15*VLOOKUP("Inyección",Parametros!$A$12:$B$19,2,FALSE),0)</f>
        <v>0</v>
      </c>
      <c r="O15" s="5">
        <f>IFERROR($K15*VLOOKUP("Ensamble",Parametros!$A$12:$B$19,2,FALSE),0)</f>
        <v>0</v>
      </c>
      <c r="P15" s="5">
        <f>IFERROR($L15*VLOOKUP("Inspección",Parametros!$A$12:$B$19,2,FALSE),0)</f>
        <v>0</v>
      </c>
      <c r="Q15" s="5">
        <f>IFERROR($M15*VLOOKUP("Empaque",Parametros!$A$12:$B$19,2,FALSE),0)</f>
        <v>0</v>
      </c>
      <c r="R15" s="5">
        <f t="shared" si="2"/>
        <v>0</v>
      </c>
      <c r="S15" s="5" t="e">
        <f t="shared" si="3"/>
        <v>#VALUE!</v>
      </c>
      <c r="T15" s="5">
        <f t="shared" si="4"/>
        <v>0</v>
      </c>
      <c r="U15" s="28"/>
      <c r="V15" s="5" t="str">
        <f t="shared" si="5"/>
        <v/>
      </c>
      <c r="W15" s="5" t="str">
        <f t="shared" si="6"/>
        <v/>
      </c>
      <c r="X15" s="6">
        <f t="shared" si="7"/>
        <v>0</v>
      </c>
      <c r="Y15" s="4">
        <f>IF(INDEX(Parametros!$C$12:$C$19,MATCH("Sí",Parametros!$C$12:$C$19,0))="Sí",IF(INDEX(Parametros!$A$12:$A$19,MATCH("Sí",Parametros!$C$12:$C$19,0))="Inyección",$I15,IF(INDEX(Parametros!$A$12:$A$19,MATCH("Sí",Parametros!$C$12:$C$19,0))="Ensamble",$K15,IF(INDEX(Parametros!$A$12:$A$19,MATCH("Sí",Parametros!$C$12:$C$19,0))="Inspección",$L15,IF(INDEX(Parametros!$A$12:$A$19,MATCH("Sí",Parametros!$C$12:$C$19,0))="Empaque",$M15,0)))),0)</f>
        <v>0</v>
      </c>
      <c r="Z15" s="5">
        <f t="shared" si="8"/>
        <v>0</v>
      </c>
      <c r="AA15" s="28"/>
      <c r="AB15" s="7" t="str">
        <f t="shared" si="9"/>
        <v/>
      </c>
      <c r="AC15" s="8">
        <f>COUNTIF($AB$7:$AB15,"GANADO")</f>
        <v>3</v>
      </c>
    </row>
    <row r="16" spans="1:29" x14ac:dyDescent="0.25">
      <c r="A16" s="11" t="s">
        <v>101</v>
      </c>
      <c r="B16" s="25"/>
      <c r="C16" s="25"/>
      <c r="D16" s="26"/>
      <c r="E16" s="27"/>
      <c r="F16" s="5">
        <f>IFERROR(VLOOKUP($B16,Catalogo_Productos!$A$7:$J$9,2,FALSE),0)</f>
        <v>0</v>
      </c>
      <c r="G16" s="5" t="str">
        <f t="shared" si="0"/>
        <v/>
      </c>
      <c r="H16" s="4">
        <f>IFERROR(VLOOKUP($B16,Catalogo_Productos!$A$7:$J$9,4,FALSE),0)</f>
        <v>0</v>
      </c>
      <c r="I16" s="4">
        <f t="shared" si="1"/>
        <v>0</v>
      </c>
      <c r="J16" s="4">
        <f>IFERROR($I16/Parametros!$B$9,0)</f>
        <v>0</v>
      </c>
      <c r="K16" s="4">
        <f>IFERROR($D16*VLOOKUP($B16,Catalogo_Productos!$A$7:$J$9,6,FALSE)/60,0)</f>
        <v>0</v>
      </c>
      <c r="L16" s="4">
        <f>IFERROR($D16*VLOOKUP($B16,Catalogo_Productos!$A$7:$J$9,7,FALSE)/60,0)</f>
        <v>0</v>
      </c>
      <c r="M16" s="4">
        <f>IFERROR($D16*VLOOKUP($B16,Catalogo_Productos!$A$7:$J$9,8,FALSE)/60,0)</f>
        <v>0</v>
      </c>
      <c r="N16" s="5">
        <f>IFERROR($I16*VLOOKUP("Inyección",Parametros!$A$12:$B$19,2,FALSE),0)</f>
        <v>0</v>
      </c>
      <c r="O16" s="5">
        <f>IFERROR($K16*VLOOKUP("Ensamble",Parametros!$A$12:$B$19,2,FALSE),0)</f>
        <v>0</v>
      </c>
      <c r="P16" s="5">
        <f>IFERROR($L16*VLOOKUP("Inspección",Parametros!$A$12:$B$19,2,FALSE),0)</f>
        <v>0</v>
      </c>
      <c r="Q16" s="5">
        <f>IFERROR($M16*VLOOKUP("Empaque",Parametros!$A$12:$B$19,2,FALSE),0)</f>
        <v>0</v>
      </c>
      <c r="R16" s="5">
        <f t="shared" si="2"/>
        <v>0</v>
      </c>
      <c r="S16" s="5" t="e">
        <f t="shared" si="3"/>
        <v>#VALUE!</v>
      </c>
      <c r="T16" s="5">
        <f t="shared" si="4"/>
        <v>0</v>
      </c>
      <c r="U16" s="28"/>
      <c r="V16" s="5" t="str">
        <f t="shared" si="5"/>
        <v/>
      </c>
      <c r="W16" s="5" t="str">
        <f t="shared" si="6"/>
        <v/>
      </c>
      <c r="X16" s="6">
        <f t="shared" si="7"/>
        <v>0</v>
      </c>
      <c r="Y16" s="4">
        <f>IF(INDEX(Parametros!$C$12:$C$19,MATCH("Sí",Parametros!$C$12:$C$19,0))="Sí",IF(INDEX(Parametros!$A$12:$A$19,MATCH("Sí",Parametros!$C$12:$C$19,0))="Inyección",$I16,IF(INDEX(Parametros!$A$12:$A$19,MATCH("Sí",Parametros!$C$12:$C$19,0))="Ensamble",$K16,IF(INDEX(Parametros!$A$12:$A$19,MATCH("Sí",Parametros!$C$12:$C$19,0))="Inspección",$L16,IF(INDEX(Parametros!$A$12:$A$19,MATCH("Sí",Parametros!$C$12:$C$19,0))="Empaque",$M16,0)))),0)</f>
        <v>0</v>
      </c>
      <c r="Z16" s="5">
        <f t="shared" si="8"/>
        <v>0</v>
      </c>
      <c r="AA16" s="28"/>
      <c r="AB16" s="7" t="str">
        <f t="shared" si="9"/>
        <v/>
      </c>
      <c r="AC16" s="8">
        <f>COUNTIF($AB$7:$AB16,"GANADO")</f>
        <v>3</v>
      </c>
    </row>
    <row r="17" spans="1:29" x14ac:dyDescent="0.25">
      <c r="A17" s="11" t="s">
        <v>102</v>
      </c>
      <c r="B17" s="25"/>
      <c r="C17" s="25"/>
      <c r="D17" s="26"/>
      <c r="E17" s="27"/>
      <c r="F17" s="5">
        <f>IFERROR(VLOOKUP($B17,Catalogo_Productos!$A$7:$J$9,2,FALSE),0)</f>
        <v>0</v>
      </c>
      <c r="G17" s="5" t="str">
        <f t="shared" si="0"/>
        <v/>
      </c>
      <c r="H17" s="4">
        <f>IFERROR(VLOOKUP($B17,Catalogo_Productos!$A$7:$J$9,4,FALSE),0)</f>
        <v>0</v>
      </c>
      <c r="I17" s="4">
        <f t="shared" si="1"/>
        <v>0</v>
      </c>
      <c r="J17" s="4">
        <f>IFERROR($I17/Parametros!$B$9,0)</f>
        <v>0</v>
      </c>
      <c r="K17" s="4">
        <f>IFERROR($D17*VLOOKUP($B17,Catalogo_Productos!$A$7:$J$9,6,FALSE)/60,0)</f>
        <v>0</v>
      </c>
      <c r="L17" s="4">
        <f>IFERROR($D17*VLOOKUP($B17,Catalogo_Productos!$A$7:$J$9,7,FALSE)/60,0)</f>
        <v>0</v>
      </c>
      <c r="M17" s="4">
        <f>IFERROR($D17*VLOOKUP($B17,Catalogo_Productos!$A$7:$J$9,8,FALSE)/60,0)</f>
        <v>0</v>
      </c>
      <c r="N17" s="5">
        <f>IFERROR($I17*VLOOKUP("Inyección",Parametros!$A$12:$B$19,2,FALSE),0)</f>
        <v>0</v>
      </c>
      <c r="O17" s="5">
        <f>IFERROR($K17*VLOOKUP("Ensamble",Parametros!$A$12:$B$19,2,FALSE),0)</f>
        <v>0</v>
      </c>
      <c r="P17" s="5">
        <f>IFERROR($L17*VLOOKUP("Inspección",Parametros!$A$12:$B$19,2,FALSE),0)</f>
        <v>0</v>
      </c>
      <c r="Q17" s="5">
        <f>IFERROR($M17*VLOOKUP("Empaque",Parametros!$A$12:$B$19,2,FALSE),0)</f>
        <v>0</v>
      </c>
      <c r="R17" s="5">
        <f t="shared" si="2"/>
        <v>0</v>
      </c>
      <c r="S17" s="5" t="e">
        <f t="shared" si="3"/>
        <v>#VALUE!</v>
      </c>
      <c r="T17" s="5">
        <f t="shared" si="4"/>
        <v>0</v>
      </c>
      <c r="U17" s="28"/>
      <c r="V17" s="5" t="str">
        <f t="shared" si="5"/>
        <v/>
      </c>
      <c r="W17" s="5" t="str">
        <f t="shared" si="6"/>
        <v/>
      </c>
      <c r="X17" s="6">
        <f t="shared" si="7"/>
        <v>0</v>
      </c>
      <c r="Y17" s="4">
        <f>IF(INDEX(Parametros!$C$12:$C$19,MATCH("Sí",Parametros!$C$12:$C$19,0))="Sí",IF(INDEX(Parametros!$A$12:$A$19,MATCH("Sí",Parametros!$C$12:$C$19,0))="Inyección",$I17,IF(INDEX(Parametros!$A$12:$A$19,MATCH("Sí",Parametros!$C$12:$C$19,0))="Ensamble",$K17,IF(INDEX(Parametros!$A$12:$A$19,MATCH("Sí",Parametros!$C$12:$C$19,0))="Inspección",$L17,IF(INDEX(Parametros!$A$12:$A$19,MATCH("Sí",Parametros!$C$12:$C$19,0))="Empaque",$M17,0)))),0)</f>
        <v>0</v>
      </c>
      <c r="Z17" s="5">
        <f t="shared" si="8"/>
        <v>0</v>
      </c>
      <c r="AA17" s="28"/>
      <c r="AB17" s="7" t="str">
        <f t="shared" si="9"/>
        <v/>
      </c>
      <c r="AC17" s="8">
        <f>COUNTIF($AB$7:$AB17,"GANADO")</f>
        <v>3</v>
      </c>
    </row>
    <row r="18" spans="1:29" x14ac:dyDescent="0.25">
      <c r="A18" s="11" t="s">
        <v>103</v>
      </c>
      <c r="B18" s="25"/>
      <c r="C18" s="25"/>
      <c r="D18" s="26"/>
      <c r="E18" s="27"/>
      <c r="F18" s="5">
        <f>IFERROR(VLOOKUP($B18,Catalogo_Productos!$A$7:$J$9,2,FALSE),0)</f>
        <v>0</v>
      </c>
      <c r="G18" s="5" t="str">
        <f t="shared" si="0"/>
        <v/>
      </c>
      <c r="H18" s="4">
        <f>IFERROR(VLOOKUP($B18,Catalogo_Productos!$A$7:$J$9,4,FALSE),0)</f>
        <v>0</v>
      </c>
      <c r="I18" s="4">
        <f t="shared" si="1"/>
        <v>0</v>
      </c>
      <c r="J18" s="4">
        <f>IFERROR($I18/Parametros!$B$9,0)</f>
        <v>0</v>
      </c>
      <c r="K18" s="4">
        <f>IFERROR($D18*VLOOKUP($B18,Catalogo_Productos!$A$7:$J$9,6,FALSE)/60,0)</f>
        <v>0</v>
      </c>
      <c r="L18" s="4">
        <f>IFERROR($D18*VLOOKUP($B18,Catalogo_Productos!$A$7:$J$9,7,FALSE)/60,0)</f>
        <v>0</v>
      </c>
      <c r="M18" s="4">
        <f>IFERROR($D18*VLOOKUP($B18,Catalogo_Productos!$A$7:$J$9,8,FALSE)/60,0)</f>
        <v>0</v>
      </c>
      <c r="N18" s="5">
        <f>IFERROR($I18*VLOOKUP("Inyección",Parametros!$A$12:$B$19,2,FALSE),0)</f>
        <v>0</v>
      </c>
      <c r="O18" s="5">
        <f>IFERROR($K18*VLOOKUP("Ensamble",Parametros!$A$12:$B$19,2,FALSE),0)</f>
        <v>0</v>
      </c>
      <c r="P18" s="5">
        <f>IFERROR($L18*VLOOKUP("Inspección",Parametros!$A$12:$B$19,2,FALSE),0)</f>
        <v>0</v>
      </c>
      <c r="Q18" s="5">
        <f>IFERROR($M18*VLOOKUP("Empaque",Parametros!$A$12:$B$19,2,FALSE),0)</f>
        <v>0</v>
      </c>
      <c r="R18" s="5">
        <f t="shared" si="2"/>
        <v>0</v>
      </c>
      <c r="S18" s="5" t="e">
        <f t="shared" si="3"/>
        <v>#VALUE!</v>
      </c>
      <c r="T18" s="5">
        <f t="shared" si="4"/>
        <v>0</v>
      </c>
      <c r="U18" s="28"/>
      <c r="V18" s="5" t="str">
        <f t="shared" si="5"/>
        <v/>
      </c>
      <c r="W18" s="5" t="str">
        <f t="shared" si="6"/>
        <v/>
      </c>
      <c r="X18" s="6">
        <f t="shared" si="7"/>
        <v>0</v>
      </c>
      <c r="Y18" s="4">
        <f>IF(INDEX(Parametros!$C$12:$C$19,MATCH("Sí",Parametros!$C$12:$C$19,0))="Sí",IF(INDEX(Parametros!$A$12:$A$19,MATCH("Sí",Parametros!$C$12:$C$19,0))="Inyección",$I18,IF(INDEX(Parametros!$A$12:$A$19,MATCH("Sí",Parametros!$C$12:$C$19,0))="Ensamble",$K18,IF(INDEX(Parametros!$A$12:$A$19,MATCH("Sí",Parametros!$C$12:$C$19,0))="Inspección",$L18,IF(INDEX(Parametros!$A$12:$A$19,MATCH("Sí",Parametros!$C$12:$C$19,0))="Empaque",$M18,0)))),0)</f>
        <v>0</v>
      </c>
      <c r="Z18" s="5">
        <f t="shared" si="8"/>
        <v>0</v>
      </c>
      <c r="AA18" s="28"/>
      <c r="AB18" s="7" t="str">
        <f t="shared" si="9"/>
        <v/>
      </c>
      <c r="AC18" s="8">
        <f>COUNTIF($AB$7:$AB18,"GANADO")</f>
        <v>3</v>
      </c>
    </row>
    <row r="19" spans="1:29" x14ac:dyDescent="0.25">
      <c r="A19" s="11" t="s">
        <v>104</v>
      </c>
      <c r="B19" s="25"/>
      <c r="C19" s="25"/>
      <c r="D19" s="26"/>
      <c r="E19" s="27"/>
      <c r="F19" s="5">
        <f>IFERROR(VLOOKUP($B19,Catalogo_Productos!$A$7:$J$9,2,FALSE),0)</f>
        <v>0</v>
      </c>
      <c r="G19" s="5" t="str">
        <f t="shared" si="0"/>
        <v/>
      </c>
      <c r="H19" s="4">
        <f>IFERROR(VLOOKUP($B19,Catalogo_Productos!$A$7:$J$9,4,FALSE),0)</f>
        <v>0</v>
      </c>
      <c r="I19" s="4">
        <f t="shared" si="1"/>
        <v>0</v>
      </c>
      <c r="J19" s="4">
        <f>IFERROR($I19/Parametros!$B$9,0)</f>
        <v>0</v>
      </c>
      <c r="K19" s="4">
        <f>IFERROR($D19*VLOOKUP($B19,Catalogo_Productos!$A$7:$J$9,6,FALSE)/60,0)</f>
        <v>0</v>
      </c>
      <c r="L19" s="4">
        <f>IFERROR($D19*VLOOKUP($B19,Catalogo_Productos!$A$7:$J$9,7,FALSE)/60,0)</f>
        <v>0</v>
      </c>
      <c r="M19" s="4">
        <f>IFERROR($D19*VLOOKUP($B19,Catalogo_Productos!$A$7:$J$9,8,FALSE)/60,0)</f>
        <v>0</v>
      </c>
      <c r="N19" s="5">
        <f>IFERROR($I19*VLOOKUP("Inyección",Parametros!$A$12:$B$19,2,FALSE),0)</f>
        <v>0</v>
      </c>
      <c r="O19" s="5">
        <f>IFERROR($K19*VLOOKUP("Ensamble",Parametros!$A$12:$B$19,2,FALSE),0)</f>
        <v>0</v>
      </c>
      <c r="P19" s="5">
        <f>IFERROR($L19*VLOOKUP("Inspección",Parametros!$A$12:$B$19,2,FALSE),0)</f>
        <v>0</v>
      </c>
      <c r="Q19" s="5">
        <f>IFERROR($M19*VLOOKUP("Empaque",Parametros!$A$12:$B$19,2,FALSE),0)</f>
        <v>0</v>
      </c>
      <c r="R19" s="5">
        <f t="shared" si="2"/>
        <v>0</v>
      </c>
      <c r="S19" s="5" t="e">
        <f t="shared" si="3"/>
        <v>#VALUE!</v>
      </c>
      <c r="T19" s="5">
        <f t="shared" si="4"/>
        <v>0</v>
      </c>
      <c r="U19" s="28"/>
      <c r="V19" s="5" t="str">
        <f t="shared" si="5"/>
        <v/>
      </c>
      <c r="W19" s="5" t="str">
        <f t="shared" si="6"/>
        <v/>
      </c>
      <c r="X19" s="6">
        <f t="shared" si="7"/>
        <v>0</v>
      </c>
      <c r="Y19" s="4">
        <f>IF(INDEX(Parametros!$C$12:$C$19,MATCH("Sí",Parametros!$C$12:$C$19,0))="Sí",IF(INDEX(Parametros!$A$12:$A$19,MATCH("Sí",Parametros!$C$12:$C$19,0))="Inyección",$I19,IF(INDEX(Parametros!$A$12:$A$19,MATCH("Sí",Parametros!$C$12:$C$19,0))="Ensamble",$K19,IF(INDEX(Parametros!$A$12:$A$19,MATCH("Sí",Parametros!$C$12:$C$19,0))="Inspección",$L19,IF(INDEX(Parametros!$A$12:$A$19,MATCH("Sí",Parametros!$C$12:$C$19,0))="Empaque",$M19,0)))),0)</f>
        <v>0</v>
      </c>
      <c r="Z19" s="5">
        <f t="shared" si="8"/>
        <v>0</v>
      </c>
      <c r="AA19" s="28"/>
      <c r="AB19" s="7" t="str">
        <f t="shared" si="9"/>
        <v/>
      </c>
      <c r="AC19" s="8">
        <f>COUNTIF($AB$7:$AB19,"GANADO")</f>
        <v>3</v>
      </c>
    </row>
    <row r="20" spans="1:29" x14ac:dyDescent="0.25">
      <c r="A20" s="11" t="s">
        <v>105</v>
      </c>
      <c r="B20" s="25"/>
      <c r="C20" s="25"/>
      <c r="D20" s="26"/>
      <c r="E20" s="27"/>
      <c r="F20" s="5">
        <f>IFERROR(VLOOKUP($B20,Catalogo_Productos!$A$7:$J$9,2,FALSE),0)</f>
        <v>0</v>
      </c>
      <c r="G20" s="5" t="str">
        <f t="shared" si="0"/>
        <v/>
      </c>
      <c r="H20" s="4">
        <f>IFERROR(VLOOKUP($B20,Catalogo_Productos!$A$7:$J$9,4,FALSE),0)</f>
        <v>0</v>
      </c>
      <c r="I20" s="4">
        <f t="shared" si="1"/>
        <v>0</v>
      </c>
      <c r="J20" s="4">
        <f>IFERROR($I20/Parametros!$B$9,0)</f>
        <v>0</v>
      </c>
      <c r="K20" s="4">
        <f>IFERROR($D20*VLOOKUP($B20,Catalogo_Productos!$A$7:$J$9,6,FALSE)/60,0)</f>
        <v>0</v>
      </c>
      <c r="L20" s="4">
        <f>IFERROR($D20*VLOOKUP($B20,Catalogo_Productos!$A$7:$J$9,7,FALSE)/60,0)</f>
        <v>0</v>
      </c>
      <c r="M20" s="4">
        <f>IFERROR($D20*VLOOKUP($B20,Catalogo_Productos!$A$7:$J$9,8,FALSE)/60,0)</f>
        <v>0</v>
      </c>
      <c r="N20" s="5">
        <f>IFERROR($I20*VLOOKUP("Inyección",Parametros!$A$12:$B$19,2,FALSE),0)</f>
        <v>0</v>
      </c>
      <c r="O20" s="5">
        <f>IFERROR($K20*VLOOKUP("Ensamble",Parametros!$A$12:$B$19,2,FALSE),0)</f>
        <v>0</v>
      </c>
      <c r="P20" s="5">
        <f>IFERROR($L20*VLOOKUP("Inspección",Parametros!$A$12:$B$19,2,FALSE),0)</f>
        <v>0</v>
      </c>
      <c r="Q20" s="5">
        <f>IFERROR($M20*VLOOKUP("Empaque",Parametros!$A$12:$B$19,2,FALSE),0)</f>
        <v>0</v>
      </c>
      <c r="R20" s="5">
        <f t="shared" si="2"/>
        <v>0</v>
      </c>
      <c r="S20" s="5" t="e">
        <f t="shared" si="3"/>
        <v>#VALUE!</v>
      </c>
      <c r="T20" s="5">
        <f t="shared" si="4"/>
        <v>0</v>
      </c>
      <c r="U20" s="28"/>
      <c r="V20" s="5" t="str">
        <f t="shared" si="5"/>
        <v/>
      </c>
      <c r="W20" s="5" t="str">
        <f t="shared" si="6"/>
        <v/>
      </c>
      <c r="X20" s="6">
        <f t="shared" si="7"/>
        <v>0</v>
      </c>
      <c r="Y20" s="4">
        <f>IF(INDEX(Parametros!$C$12:$C$19,MATCH("Sí",Parametros!$C$12:$C$19,0))="Sí",IF(INDEX(Parametros!$A$12:$A$19,MATCH("Sí",Parametros!$C$12:$C$19,0))="Inyección",$I20,IF(INDEX(Parametros!$A$12:$A$19,MATCH("Sí",Parametros!$C$12:$C$19,0))="Ensamble",$K20,IF(INDEX(Parametros!$A$12:$A$19,MATCH("Sí",Parametros!$C$12:$C$19,0))="Inspección",$L20,IF(INDEX(Parametros!$A$12:$A$19,MATCH("Sí",Parametros!$C$12:$C$19,0))="Empaque",$M20,0)))),0)</f>
        <v>0</v>
      </c>
      <c r="Z20" s="5">
        <f t="shared" si="8"/>
        <v>0</v>
      </c>
      <c r="AA20" s="28"/>
      <c r="AB20" s="7" t="str">
        <f t="shared" si="9"/>
        <v/>
      </c>
      <c r="AC20" s="8">
        <f>COUNTIF($AB$7:$AB20,"GANADO")</f>
        <v>3</v>
      </c>
    </row>
    <row r="21" spans="1:29" x14ac:dyDescent="0.25">
      <c r="A21" s="11" t="s">
        <v>106</v>
      </c>
      <c r="B21" s="25"/>
      <c r="C21" s="25"/>
      <c r="D21" s="26"/>
      <c r="E21" s="27"/>
      <c r="F21" s="5">
        <f>IFERROR(VLOOKUP($B21,Catalogo_Productos!$A$7:$J$9,2,FALSE),0)</f>
        <v>0</v>
      </c>
      <c r="G21" s="5" t="str">
        <f t="shared" si="0"/>
        <v/>
      </c>
      <c r="H21" s="4">
        <f>IFERROR(VLOOKUP($B21,Catalogo_Productos!$A$7:$J$9,4,FALSE),0)</f>
        <v>0</v>
      </c>
      <c r="I21" s="4">
        <f t="shared" si="1"/>
        <v>0</v>
      </c>
      <c r="J21" s="4">
        <f>IFERROR($I21/Parametros!$B$9,0)</f>
        <v>0</v>
      </c>
      <c r="K21" s="4">
        <f>IFERROR($D21*VLOOKUP($B21,Catalogo_Productos!$A$7:$J$9,6,FALSE)/60,0)</f>
        <v>0</v>
      </c>
      <c r="L21" s="4">
        <f>IFERROR($D21*VLOOKUP($B21,Catalogo_Productos!$A$7:$J$9,7,FALSE)/60,0)</f>
        <v>0</v>
      </c>
      <c r="M21" s="4">
        <f>IFERROR($D21*VLOOKUP($B21,Catalogo_Productos!$A$7:$J$9,8,FALSE)/60,0)</f>
        <v>0</v>
      </c>
      <c r="N21" s="5">
        <f>IFERROR($I21*VLOOKUP("Inyección",Parametros!$A$12:$B$19,2,FALSE),0)</f>
        <v>0</v>
      </c>
      <c r="O21" s="5">
        <f>IFERROR($K21*VLOOKUP("Ensamble",Parametros!$A$12:$B$19,2,FALSE),0)</f>
        <v>0</v>
      </c>
      <c r="P21" s="5">
        <f>IFERROR($L21*VLOOKUP("Inspección",Parametros!$A$12:$B$19,2,FALSE),0)</f>
        <v>0</v>
      </c>
      <c r="Q21" s="5">
        <f>IFERROR($M21*VLOOKUP("Empaque",Parametros!$A$12:$B$19,2,FALSE),0)</f>
        <v>0</v>
      </c>
      <c r="R21" s="5">
        <f t="shared" si="2"/>
        <v>0</v>
      </c>
      <c r="S21" s="5" t="e">
        <f t="shared" si="3"/>
        <v>#VALUE!</v>
      </c>
      <c r="T21" s="5">
        <f t="shared" si="4"/>
        <v>0</v>
      </c>
      <c r="U21" s="28"/>
      <c r="V21" s="5" t="str">
        <f t="shared" si="5"/>
        <v/>
      </c>
      <c r="W21" s="5" t="str">
        <f t="shared" si="6"/>
        <v/>
      </c>
      <c r="X21" s="6">
        <f t="shared" si="7"/>
        <v>0</v>
      </c>
      <c r="Y21" s="4">
        <f>IF(INDEX(Parametros!$C$12:$C$19,MATCH("Sí",Parametros!$C$12:$C$19,0))="Sí",IF(INDEX(Parametros!$A$12:$A$19,MATCH("Sí",Parametros!$C$12:$C$19,0))="Inyección",$I21,IF(INDEX(Parametros!$A$12:$A$19,MATCH("Sí",Parametros!$C$12:$C$19,0))="Ensamble",$K21,IF(INDEX(Parametros!$A$12:$A$19,MATCH("Sí",Parametros!$C$12:$C$19,0))="Inspección",$L21,IF(INDEX(Parametros!$A$12:$A$19,MATCH("Sí",Parametros!$C$12:$C$19,0))="Empaque",$M21,0)))),0)</f>
        <v>0</v>
      </c>
      <c r="Z21" s="5">
        <f t="shared" si="8"/>
        <v>0</v>
      </c>
      <c r="AA21" s="28"/>
      <c r="AB21" s="7" t="str">
        <f t="shared" si="9"/>
        <v/>
      </c>
      <c r="AC21" s="8">
        <f>COUNTIF($AB$7:$AB21,"GANADO")</f>
        <v>3</v>
      </c>
    </row>
    <row r="22" spans="1:29" x14ac:dyDescent="0.25">
      <c r="A22" s="11" t="s">
        <v>107</v>
      </c>
      <c r="B22" s="25"/>
      <c r="C22" s="25"/>
      <c r="D22" s="26"/>
      <c r="E22" s="27"/>
      <c r="F22" s="5">
        <f>IFERROR(VLOOKUP($B22,Catalogo_Productos!$A$7:$J$9,2,FALSE),0)</f>
        <v>0</v>
      </c>
      <c r="G22" s="5" t="str">
        <f t="shared" si="0"/>
        <v/>
      </c>
      <c r="H22" s="4">
        <f>IFERROR(VLOOKUP($B22,Catalogo_Productos!$A$7:$J$9,4,FALSE),0)</f>
        <v>0</v>
      </c>
      <c r="I22" s="4">
        <f t="shared" si="1"/>
        <v>0</v>
      </c>
      <c r="J22" s="4">
        <f>IFERROR($I22/Parametros!$B$9,0)</f>
        <v>0</v>
      </c>
      <c r="K22" s="4">
        <f>IFERROR($D22*VLOOKUP($B22,Catalogo_Productos!$A$7:$J$9,6,FALSE)/60,0)</f>
        <v>0</v>
      </c>
      <c r="L22" s="4">
        <f>IFERROR($D22*VLOOKUP($B22,Catalogo_Productos!$A$7:$J$9,7,FALSE)/60,0)</f>
        <v>0</v>
      </c>
      <c r="M22" s="4">
        <f>IFERROR($D22*VLOOKUP($B22,Catalogo_Productos!$A$7:$J$9,8,FALSE)/60,0)</f>
        <v>0</v>
      </c>
      <c r="N22" s="5">
        <f>IFERROR($I22*VLOOKUP("Inyección",Parametros!$A$12:$B$19,2,FALSE),0)</f>
        <v>0</v>
      </c>
      <c r="O22" s="5">
        <f>IFERROR($K22*VLOOKUP("Ensamble",Parametros!$A$12:$B$19,2,FALSE),0)</f>
        <v>0</v>
      </c>
      <c r="P22" s="5">
        <f>IFERROR($L22*VLOOKUP("Inspección",Parametros!$A$12:$B$19,2,FALSE),0)</f>
        <v>0</v>
      </c>
      <c r="Q22" s="5">
        <f>IFERROR($M22*VLOOKUP("Empaque",Parametros!$A$12:$B$19,2,FALSE),0)</f>
        <v>0</v>
      </c>
      <c r="R22" s="5">
        <f t="shared" si="2"/>
        <v>0</v>
      </c>
      <c r="S22" s="5" t="e">
        <f t="shared" si="3"/>
        <v>#VALUE!</v>
      </c>
      <c r="T22" s="5">
        <f t="shared" si="4"/>
        <v>0</v>
      </c>
      <c r="U22" s="28"/>
      <c r="V22" s="5" t="str">
        <f t="shared" si="5"/>
        <v/>
      </c>
      <c r="W22" s="5" t="str">
        <f t="shared" si="6"/>
        <v/>
      </c>
      <c r="X22" s="6">
        <f t="shared" si="7"/>
        <v>0</v>
      </c>
      <c r="Y22" s="4">
        <f>IF(INDEX(Parametros!$C$12:$C$19,MATCH("Sí",Parametros!$C$12:$C$19,0))="Sí",IF(INDEX(Parametros!$A$12:$A$19,MATCH("Sí",Parametros!$C$12:$C$19,0))="Inyección",$I22,IF(INDEX(Parametros!$A$12:$A$19,MATCH("Sí",Parametros!$C$12:$C$19,0))="Ensamble",$K22,IF(INDEX(Parametros!$A$12:$A$19,MATCH("Sí",Parametros!$C$12:$C$19,0))="Inspección",$L22,IF(INDEX(Parametros!$A$12:$A$19,MATCH("Sí",Parametros!$C$12:$C$19,0))="Empaque",$M22,0)))),0)</f>
        <v>0</v>
      </c>
      <c r="Z22" s="5">
        <f t="shared" si="8"/>
        <v>0</v>
      </c>
      <c r="AA22" s="28"/>
      <c r="AB22" s="7" t="str">
        <f t="shared" si="9"/>
        <v/>
      </c>
      <c r="AC22" s="8">
        <f>COUNTIF($AB$7:$AB22,"GANADO")</f>
        <v>3</v>
      </c>
    </row>
    <row r="23" spans="1:29" x14ac:dyDescent="0.25">
      <c r="A23" s="11" t="s">
        <v>108</v>
      </c>
      <c r="B23" s="25"/>
      <c r="C23" s="25"/>
      <c r="D23" s="26"/>
      <c r="E23" s="27"/>
      <c r="F23" s="5">
        <f>IFERROR(VLOOKUP($B23,Catalogo_Productos!$A$7:$J$9,2,FALSE),0)</f>
        <v>0</v>
      </c>
      <c r="G23" s="5" t="str">
        <f t="shared" si="0"/>
        <v/>
      </c>
      <c r="H23" s="4">
        <f>IFERROR(VLOOKUP($B23,Catalogo_Productos!$A$7:$J$9,4,FALSE),0)</f>
        <v>0</v>
      </c>
      <c r="I23" s="4">
        <f t="shared" si="1"/>
        <v>0</v>
      </c>
      <c r="J23" s="4">
        <f>IFERROR($I23/Parametros!$B$9,0)</f>
        <v>0</v>
      </c>
      <c r="K23" s="4">
        <f>IFERROR($D23*VLOOKUP($B23,Catalogo_Productos!$A$7:$J$9,6,FALSE)/60,0)</f>
        <v>0</v>
      </c>
      <c r="L23" s="4">
        <f>IFERROR($D23*VLOOKUP($B23,Catalogo_Productos!$A$7:$J$9,7,FALSE)/60,0)</f>
        <v>0</v>
      </c>
      <c r="M23" s="4">
        <f>IFERROR($D23*VLOOKUP($B23,Catalogo_Productos!$A$7:$J$9,8,FALSE)/60,0)</f>
        <v>0</v>
      </c>
      <c r="N23" s="5">
        <f>IFERROR($I23*VLOOKUP("Inyección",Parametros!$A$12:$B$19,2,FALSE),0)</f>
        <v>0</v>
      </c>
      <c r="O23" s="5">
        <f>IFERROR($K23*VLOOKUP("Ensamble",Parametros!$A$12:$B$19,2,FALSE),0)</f>
        <v>0</v>
      </c>
      <c r="P23" s="5">
        <f>IFERROR($L23*VLOOKUP("Inspección",Parametros!$A$12:$B$19,2,FALSE),0)</f>
        <v>0</v>
      </c>
      <c r="Q23" s="5">
        <f>IFERROR($M23*VLOOKUP("Empaque",Parametros!$A$12:$B$19,2,FALSE),0)</f>
        <v>0</v>
      </c>
      <c r="R23" s="5">
        <f t="shared" si="2"/>
        <v>0</v>
      </c>
      <c r="S23" s="5" t="e">
        <f t="shared" si="3"/>
        <v>#VALUE!</v>
      </c>
      <c r="T23" s="5">
        <f t="shared" si="4"/>
        <v>0</v>
      </c>
      <c r="U23" s="28"/>
      <c r="V23" s="5" t="str">
        <f t="shared" si="5"/>
        <v/>
      </c>
      <c r="W23" s="5" t="str">
        <f t="shared" si="6"/>
        <v/>
      </c>
      <c r="X23" s="6">
        <f t="shared" si="7"/>
        <v>0</v>
      </c>
      <c r="Y23" s="4">
        <f>IF(INDEX(Parametros!$C$12:$C$19,MATCH("Sí",Parametros!$C$12:$C$19,0))="Sí",IF(INDEX(Parametros!$A$12:$A$19,MATCH("Sí",Parametros!$C$12:$C$19,0))="Inyección",$I23,IF(INDEX(Parametros!$A$12:$A$19,MATCH("Sí",Parametros!$C$12:$C$19,0))="Ensamble",$K23,IF(INDEX(Parametros!$A$12:$A$19,MATCH("Sí",Parametros!$C$12:$C$19,0))="Inspección",$L23,IF(INDEX(Parametros!$A$12:$A$19,MATCH("Sí",Parametros!$C$12:$C$19,0))="Empaque",$M23,0)))),0)</f>
        <v>0</v>
      </c>
      <c r="Z23" s="5">
        <f t="shared" si="8"/>
        <v>0</v>
      </c>
      <c r="AA23" s="28"/>
      <c r="AB23" s="7" t="str">
        <f t="shared" si="9"/>
        <v/>
      </c>
      <c r="AC23" s="8">
        <f>COUNTIF($AB$7:$AB23,"GANADO")</f>
        <v>3</v>
      </c>
    </row>
    <row r="24" spans="1:29" x14ac:dyDescent="0.25">
      <c r="A24" s="11" t="s">
        <v>109</v>
      </c>
      <c r="B24" s="25"/>
      <c r="C24" s="25"/>
      <c r="D24" s="26"/>
      <c r="E24" s="27"/>
      <c r="F24" s="5">
        <f>IFERROR(VLOOKUP($B24,Catalogo_Productos!$A$7:$J$9,2,FALSE),0)</f>
        <v>0</v>
      </c>
      <c r="G24" s="5" t="str">
        <f t="shared" si="0"/>
        <v/>
      </c>
      <c r="H24" s="4">
        <f>IFERROR(VLOOKUP($B24,Catalogo_Productos!$A$7:$J$9,4,FALSE),0)</f>
        <v>0</v>
      </c>
      <c r="I24" s="4">
        <f t="shared" si="1"/>
        <v>0</v>
      </c>
      <c r="J24" s="4">
        <f>IFERROR($I24/Parametros!$B$9,0)</f>
        <v>0</v>
      </c>
      <c r="K24" s="4">
        <f>IFERROR($D24*VLOOKUP($B24,Catalogo_Productos!$A$7:$J$9,6,FALSE)/60,0)</f>
        <v>0</v>
      </c>
      <c r="L24" s="4">
        <f>IFERROR($D24*VLOOKUP($B24,Catalogo_Productos!$A$7:$J$9,7,FALSE)/60,0)</f>
        <v>0</v>
      </c>
      <c r="M24" s="4">
        <f>IFERROR($D24*VLOOKUP($B24,Catalogo_Productos!$A$7:$J$9,8,FALSE)/60,0)</f>
        <v>0</v>
      </c>
      <c r="N24" s="5">
        <f>IFERROR($I24*VLOOKUP("Inyección",Parametros!$A$12:$B$19,2,FALSE),0)</f>
        <v>0</v>
      </c>
      <c r="O24" s="5">
        <f>IFERROR($K24*VLOOKUP("Ensamble",Parametros!$A$12:$B$19,2,FALSE),0)</f>
        <v>0</v>
      </c>
      <c r="P24" s="5">
        <f>IFERROR($L24*VLOOKUP("Inspección",Parametros!$A$12:$B$19,2,FALSE),0)</f>
        <v>0</v>
      </c>
      <c r="Q24" s="5">
        <f>IFERROR($M24*VLOOKUP("Empaque",Parametros!$A$12:$B$19,2,FALSE),0)</f>
        <v>0</v>
      </c>
      <c r="R24" s="5">
        <f t="shared" si="2"/>
        <v>0</v>
      </c>
      <c r="S24" s="5" t="e">
        <f t="shared" si="3"/>
        <v>#VALUE!</v>
      </c>
      <c r="T24" s="5">
        <f t="shared" si="4"/>
        <v>0</v>
      </c>
      <c r="U24" s="28"/>
      <c r="V24" s="5" t="str">
        <f t="shared" si="5"/>
        <v/>
      </c>
      <c r="W24" s="5" t="str">
        <f t="shared" si="6"/>
        <v/>
      </c>
      <c r="X24" s="6">
        <f t="shared" si="7"/>
        <v>0</v>
      </c>
      <c r="Y24" s="4">
        <f>IF(INDEX(Parametros!$C$12:$C$19,MATCH("Sí",Parametros!$C$12:$C$19,0))="Sí",IF(INDEX(Parametros!$A$12:$A$19,MATCH("Sí",Parametros!$C$12:$C$19,0))="Inyección",$I24,IF(INDEX(Parametros!$A$12:$A$19,MATCH("Sí",Parametros!$C$12:$C$19,0))="Ensamble",$K24,IF(INDEX(Parametros!$A$12:$A$19,MATCH("Sí",Parametros!$C$12:$C$19,0))="Inspección",$L24,IF(INDEX(Parametros!$A$12:$A$19,MATCH("Sí",Parametros!$C$12:$C$19,0))="Empaque",$M24,0)))),0)</f>
        <v>0</v>
      </c>
      <c r="Z24" s="5">
        <f t="shared" si="8"/>
        <v>0</v>
      </c>
      <c r="AA24" s="28"/>
      <c r="AB24" s="7" t="str">
        <f t="shared" si="9"/>
        <v/>
      </c>
      <c r="AC24" s="8">
        <f>COUNTIF($AB$7:$AB24,"GANADO")</f>
        <v>3</v>
      </c>
    </row>
    <row r="25" spans="1:29" x14ac:dyDescent="0.25">
      <c r="A25" s="11" t="s">
        <v>110</v>
      </c>
      <c r="B25" s="25"/>
      <c r="C25" s="25"/>
      <c r="D25" s="26"/>
      <c r="E25" s="27"/>
      <c r="F25" s="5">
        <f>IFERROR(VLOOKUP($B25,Catalogo_Productos!$A$7:$J$9,2,FALSE),0)</f>
        <v>0</v>
      </c>
      <c r="G25" s="5" t="str">
        <f t="shared" si="0"/>
        <v/>
      </c>
      <c r="H25" s="4">
        <f>IFERROR(VLOOKUP($B25,Catalogo_Productos!$A$7:$J$9,4,FALSE),0)</f>
        <v>0</v>
      </c>
      <c r="I25" s="4">
        <f t="shared" si="1"/>
        <v>0</v>
      </c>
      <c r="J25" s="4">
        <f>IFERROR($I25/Parametros!$B$9,0)</f>
        <v>0</v>
      </c>
      <c r="K25" s="4">
        <f>IFERROR($D25*VLOOKUP($B25,Catalogo_Productos!$A$7:$J$9,6,FALSE)/60,0)</f>
        <v>0</v>
      </c>
      <c r="L25" s="4">
        <f>IFERROR($D25*VLOOKUP($B25,Catalogo_Productos!$A$7:$J$9,7,FALSE)/60,0)</f>
        <v>0</v>
      </c>
      <c r="M25" s="4">
        <f>IFERROR($D25*VLOOKUP($B25,Catalogo_Productos!$A$7:$J$9,8,FALSE)/60,0)</f>
        <v>0</v>
      </c>
      <c r="N25" s="5">
        <f>IFERROR($I25*VLOOKUP("Inyección",Parametros!$A$12:$B$19,2,FALSE),0)</f>
        <v>0</v>
      </c>
      <c r="O25" s="5">
        <f>IFERROR($K25*VLOOKUP("Ensamble",Parametros!$A$12:$B$19,2,FALSE),0)</f>
        <v>0</v>
      </c>
      <c r="P25" s="5">
        <f>IFERROR($L25*VLOOKUP("Inspección",Parametros!$A$12:$B$19,2,FALSE),0)</f>
        <v>0</v>
      </c>
      <c r="Q25" s="5">
        <f>IFERROR($M25*VLOOKUP("Empaque",Parametros!$A$12:$B$19,2,FALSE),0)</f>
        <v>0</v>
      </c>
      <c r="R25" s="5">
        <f t="shared" si="2"/>
        <v>0</v>
      </c>
      <c r="S25" s="5" t="e">
        <f t="shared" si="3"/>
        <v>#VALUE!</v>
      </c>
      <c r="T25" s="5">
        <f t="shared" si="4"/>
        <v>0</v>
      </c>
      <c r="U25" s="28"/>
      <c r="V25" s="5" t="str">
        <f t="shared" si="5"/>
        <v/>
      </c>
      <c r="W25" s="5" t="str">
        <f t="shared" si="6"/>
        <v/>
      </c>
      <c r="X25" s="6">
        <f t="shared" si="7"/>
        <v>0</v>
      </c>
      <c r="Y25" s="4">
        <f>IF(INDEX(Parametros!$C$12:$C$19,MATCH("Sí",Parametros!$C$12:$C$19,0))="Sí",IF(INDEX(Parametros!$A$12:$A$19,MATCH("Sí",Parametros!$C$12:$C$19,0))="Inyección",$I25,IF(INDEX(Parametros!$A$12:$A$19,MATCH("Sí",Parametros!$C$12:$C$19,0))="Ensamble",$K25,IF(INDEX(Parametros!$A$12:$A$19,MATCH("Sí",Parametros!$C$12:$C$19,0))="Inspección",$L25,IF(INDEX(Parametros!$A$12:$A$19,MATCH("Sí",Parametros!$C$12:$C$19,0))="Empaque",$M25,0)))),0)</f>
        <v>0</v>
      </c>
      <c r="Z25" s="5">
        <f t="shared" si="8"/>
        <v>0</v>
      </c>
      <c r="AA25" s="28"/>
      <c r="AB25" s="7" t="str">
        <f t="shared" si="9"/>
        <v/>
      </c>
      <c r="AC25" s="8">
        <f>COUNTIF($AB$7:$AB25,"GANADO")</f>
        <v>3</v>
      </c>
    </row>
    <row r="26" spans="1:29" x14ac:dyDescent="0.25">
      <c r="A26" s="11" t="s">
        <v>111</v>
      </c>
      <c r="B26" s="25"/>
      <c r="C26" s="25"/>
      <c r="D26" s="26"/>
      <c r="E26" s="27"/>
      <c r="F26" s="5">
        <f>IFERROR(VLOOKUP($B26,Catalogo_Productos!$A$7:$J$9,2,FALSE),0)</f>
        <v>0</v>
      </c>
      <c r="G26" s="5" t="str">
        <f t="shared" si="0"/>
        <v/>
      </c>
      <c r="H26" s="4">
        <f>IFERROR(VLOOKUP($B26,Catalogo_Productos!$A$7:$J$9,4,FALSE),0)</f>
        <v>0</v>
      </c>
      <c r="I26" s="4">
        <f t="shared" si="1"/>
        <v>0</v>
      </c>
      <c r="J26" s="4">
        <f>IFERROR($I26/Parametros!$B$9,0)</f>
        <v>0</v>
      </c>
      <c r="K26" s="4">
        <f>IFERROR($D26*VLOOKUP($B26,Catalogo_Productos!$A$7:$J$9,6,FALSE)/60,0)</f>
        <v>0</v>
      </c>
      <c r="L26" s="4">
        <f>IFERROR($D26*VLOOKUP($B26,Catalogo_Productos!$A$7:$J$9,7,FALSE)/60,0)</f>
        <v>0</v>
      </c>
      <c r="M26" s="4">
        <f>IFERROR($D26*VLOOKUP($B26,Catalogo_Productos!$A$7:$J$9,8,FALSE)/60,0)</f>
        <v>0</v>
      </c>
      <c r="N26" s="5">
        <f>IFERROR($I26*VLOOKUP("Inyección",Parametros!$A$12:$B$19,2,FALSE),0)</f>
        <v>0</v>
      </c>
      <c r="O26" s="5">
        <f>IFERROR($K26*VLOOKUP("Ensamble",Parametros!$A$12:$B$19,2,FALSE),0)</f>
        <v>0</v>
      </c>
      <c r="P26" s="5">
        <f>IFERROR($L26*VLOOKUP("Inspección",Parametros!$A$12:$B$19,2,FALSE),0)</f>
        <v>0</v>
      </c>
      <c r="Q26" s="5">
        <f>IFERROR($M26*VLOOKUP("Empaque",Parametros!$A$12:$B$19,2,FALSE),0)</f>
        <v>0</v>
      </c>
      <c r="R26" s="5">
        <f t="shared" si="2"/>
        <v>0</v>
      </c>
      <c r="S26" s="5" t="e">
        <f t="shared" si="3"/>
        <v>#VALUE!</v>
      </c>
      <c r="T26" s="5">
        <f t="shared" si="4"/>
        <v>0</v>
      </c>
      <c r="U26" s="28"/>
      <c r="V26" s="5" t="str">
        <f t="shared" si="5"/>
        <v/>
      </c>
      <c r="W26" s="5" t="str">
        <f t="shared" si="6"/>
        <v/>
      </c>
      <c r="X26" s="6">
        <f t="shared" si="7"/>
        <v>0</v>
      </c>
      <c r="Y26" s="4">
        <f>IF(INDEX(Parametros!$C$12:$C$19,MATCH("Sí",Parametros!$C$12:$C$19,0))="Sí",IF(INDEX(Parametros!$A$12:$A$19,MATCH("Sí",Parametros!$C$12:$C$19,0))="Inyección",$I26,IF(INDEX(Parametros!$A$12:$A$19,MATCH("Sí",Parametros!$C$12:$C$19,0))="Ensamble",$K26,IF(INDEX(Parametros!$A$12:$A$19,MATCH("Sí",Parametros!$C$12:$C$19,0))="Inspección",$L26,IF(INDEX(Parametros!$A$12:$A$19,MATCH("Sí",Parametros!$C$12:$C$19,0))="Empaque",$M26,0)))),0)</f>
        <v>0</v>
      </c>
      <c r="Z26" s="5">
        <f t="shared" si="8"/>
        <v>0</v>
      </c>
      <c r="AA26" s="28"/>
      <c r="AB26" s="7" t="str">
        <f t="shared" si="9"/>
        <v/>
      </c>
      <c r="AC26" s="8">
        <f>COUNTIF($AB$7:$AB26,"GANADO")</f>
        <v>3</v>
      </c>
    </row>
  </sheetData>
  <autoFilter ref="A6:AC26" xr:uid="{00000000-0009-0000-0000-000003000000}"/>
  <mergeCells count="2">
    <mergeCell ref="A4:AC4"/>
    <mergeCell ref="A1:AC2"/>
  </mergeCells>
  <conditionalFormatting sqref="U7:U26">
    <cfRule type="expression" dxfId="2" priority="3">
      <formula>U7&lt;T7</formula>
    </cfRule>
  </conditionalFormatting>
  <conditionalFormatting sqref="AB7:AB26">
    <cfRule type="expression" dxfId="1" priority="1">
      <formula>AB7="GANADO"</formula>
    </cfRule>
    <cfRule type="expression" dxfId="0" priority="2">
      <formula>AB7="PERDIDO"</formula>
    </cfRule>
  </conditionalFormatting>
  <pageMargins left="0.75" right="0.75" top="1" bottom="1" header="0.5" footer="0.5"/>
  <pageSetup paperSize="8" fitToHeight="0"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0000000}">
          <x14:formula1>
            <xm:f>Catalogo_Productos!$A$7:$A$9</xm:f>
          </x14:formula1>
          <xm:sqref>B7:B26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0"/>
  <sheetViews>
    <sheetView showGridLines="0" topLeftCell="A13" workbookViewId="0">
      <selection activeCell="B23" sqref="B23:B24"/>
    </sheetView>
  </sheetViews>
  <sheetFormatPr baseColWidth="10" defaultColWidth="9.140625" defaultRowHeight="15" x14ac:dyDescent="0.25"/>
  <cols>
    <col min="1" max="1" width="22" customWidth="1"/>
    <col min="2" max="2" width="20.5703125" customWidth="1"/>
    <col min="3" max="3" width="4" customWidth="1"/>
    <col min="4" max="4" width="23" customWidth="1"/>
    <col min="5" max="5" width="16" customWidth="1"/>
    <col min="6" max="6" width="4" customWidth="1"/>
    <col min="7" max="7" width="22" customWidth="1"/>
    <col min="8" max="8" width="18.140625" customWidth="1"/>
    <col min="9" max="9" width="3" customWidth="1"/>
    <col min="10" max="11" width="14" customWidth="1"/>
  </cols>
  <sheetData>
    <row r="1" spans="1:11" x14ac:dyDescent="0.25">
      <c r="A1" s="32" t="s">
        <v>112</v>
      </c>
      <c r="B1" s="31"/>
      <c r="C1" s="31"/>
      <c r="D1" s="31"/>
      <c r="E1" s="31"/>
      <c r="F1" s="31"/>
      <c r="G1" s="31"/>
      <c r="H1" s="31"/>
    </row>
    <row r="2" spans="1:11" x14ac:dyDescent="0.25">
      <c r="A2" s="31"/>
      <c r="B2" s="31"/>
      <c r="C2" s="31"/>
      <c r="D2" s="31"/>
      <c r="E2" s="31"/>
      <c r="F2" s="31"/>
      <c r="G2" s="31"/>
      <c r="H2" s="31"/>
    </row>
    <row r="3" spans="1:11" x14ac:dyDescent="0.25">
      <c r="J3" t="s">
        <v>89</v>
      </c>
      <c r="K3" t="s">
        <v>65</v>
      </c>
    </row>
    <row r="4" spans="1:11" x14ac:dyDescent="0.25">
      <c r="A4" s="2" t="s">
        <v>16</v>
      </c>
      <c r="B4" t="str">
        <f>Parametros!B4</f>
        <v>Tecnobox</v>
      </c>
      <c r="D4" s="2" t="s">
        <v>17</v>
      </c>
      <c r="E4">
        <f>Parametros!B5</f>
        <v>0</v>
      </c>
      <c r="G4" s="2" t="s">
        <v>113</v>
      </c>
      <c r="H4">
        <f>Parametros!B9</f>
        <v>3</v>
      </c>
      <c r="J4" t="s">
        <v>114</v>
      </c>
      <c r="K4">
        <f>COUNTIF(Cotizador!AB7:AB26,"GANADO")</f>
        <v>3</v>
      </c>
    </row>
    <row r="5" spans="1:11" x14ac:dyDescent="0.25">
      <c r="J5" t="s">
        <v>115</v>
      </c>
      <c r="K5">
        <f>COUNTIF(Cotizador!AB7:AB26,"PERDIDO")</f>
        <v>0</v>
      </c>
    </row>
    <row r="7" spans="1:11" x14ac:dyDescent="0.25">
      <c r="A7" s="37" t="s">
        <v>116</v>
      </c>
      <c r="B7" s="38">
        <f>COUNT(Cotizador!D7:D26)</f>
        <v>3</v>
      </c>
      <c r="D7" s="37" t="s">
        <v>117</v>
      </c>
      <c r="E7" s="38">
        <f>COUNTIF(Cotizador!AB7:AB26,"GANADO")</f>
        <v>3</v>
      </c>
      <c r="G7" s="37" t="s">
        <v>118</v>
      </c>
      <c r="H7" s="39">
        <f>IFERROR(E7/B7,0)</f>
        <v>1</v>
      </c>
    </row>
    <row r="8" spans="1:11" x14ac:dyDescent="0.25">
      <c r="A8" s="31"/>
      <c r="B8" s="31"/>
      <c r="D8" s="31"/>
      <c r="E8" s="31"/>
      <c r="G8" s="31"/>
      <c r="H8" s="31"/>
    </row>
    <row r="11" spans="1:11" x14ac:dyDescent="0.25">
      <c r="A11" s="37" t="s">
        <v>119</v>
      </c>
      <c r="B11" s="40">
        <f>SUMIF(Cotizador!AB7:AB26,"GANADO",Cotizador!V7:V26)</f>
        <v>107267.81877010901</v>
      </c>
      <c r="D11" s="37" t="s">
        <v>120</v>
      </c>
      <c r="E11" s="40">
        <f>SUMIF(Cotizador!AB7:AB26,"GANADO",Cotizador!W7:W26)</f>
        <v>72347.818770109006</v>
      </c>
      <c r="G11" s="37" t="s">
        <v>121</v>
      </c>
      <c r="H11" s="39">
        <f>IFERROR(E11/B11,0)</f>
        <v>0.67445968044862747</v>
      </c>
    </row>
    <row r="12" spans="1:11" x14ac:dyDescent="0.25">
      <c r="A12" s="31"/>
      <c r="B12" s="31"/>
      <c r="D12" s="31"/>
      <c r="E12" s="31"/>
      <c r="G12" s="31"/>
      <c r="H12" s="31"/>
    </row>
    <row r="15" spans="1:11" x14ac:dyDescent="0.25">
      <c r="A15" s="37" t="s">
        <v>122</v>
      </c>
      <c r="B15" s="48">
        <f>SUMIF(Cotizador!AB7:AB26,"GANADO",Cotizador!Y7:Y26)</f>
        <v>30.083030617540217</v>
      </c>
      <c r="D15" s="37" t="s">
        <v>123</v>
      </c>
      <c r="E15" s="40">
        <f>IFERROR(E11/B15,0)</f>
        <v>2404.9378431947571</v>
      </c>
      <c r="G15" s="37" t="s">
        <v>124</v>
      </c>
      <c r="H15" s="41">
        <f>Parametros!B6</f>
        <v>875147</v>
      </c>
    </row>
    <row r="16" spans="1:11" x14ac:dyDescent="0.25">
      <c r="A16" s="31"/>
      <c r="B16" s="31"/>
      <c r="D16" s="31"/>
      <c r="E16" s="31"/>
      <c r="G16" s="31"/>
      <c r="H16" s="42"/>
    </row>
    <row r="19" spans="1:11" x14ac:dyDescent="0.25">
      <c r="A19" s="37" t="s">
        <v>125</v>
      </c>
      <c r="B19" s="40">
        <f>E11-H15</f>
        <v>-802799.18122989102</v>
      </c>
      <c r="D19" s="37" t="s">
        <v>126</v>
      </c>
      <c r="E19" s="39">
        <f>IFERROR(B15/Parametros!B8,0)</f>
        <v>7.1626263375095756E-2</v>
      </c>
      <c r="G19" s="37" t="s">
        <v>127</v>
      </c>
      <c r="H19" s="38">
        <f>COUNTIF(Cotizador!AB7:AB26,"PERDIDO")</f>
        <v>0</v>
      </c>
    </row>
    <row r="20" spans="1:11" x14ac:dyDescent="0.25">
      <c r="A20" s="31"/>
      <c r="B20" s="31"/>
      <c r="D20" s="31"/>
      <c r="E20" s="31"/>
      <c r="G20" s="31"/>
      <c r="H20" s="31"/>
    </row>
    <row r="23" spans="1:11" x14ac:dyDescent="0.25">
      <c r="A23" s="37" t="s">
        <v>128</v>
      </c>
      <c r="B23" s="43">
        <f>SUMIF(Parametros!C12:C19,"Sí",Parametros!D12:D19)</f>
        <v>420</v>
      </c>
      <c r="D23" s="45" t="s">
        <v>129</v>
      </c>
      <c r="E23" s="46">
        <f>H15/B23</f>
        <v>2083.6833333333334</v>
      </c>
      <c r="G23" s="37" t="s">
        <v>136</v>
      </c>
      <c r="H23" s="41">
        <f>Parametros!B7</f>
        <v>645632</v>
      </c>
    </row>
    <row r="24" spans="1:11" x14ac:dyDescent="0.25">
      <c r="A24" s="31"/>
      <c r="B24" s="44"/>
      <c r="D24" s="31"/>
      <c r="E24" s="47"/>
      <c r="G24" s="31"/>
      <c r="H24" s="42"/>
      <c r="J24" t="s">
        <v>89</v>
      </c>
      <c r="K24" t="s">
        <v>134</v>
      </c>
    </row>
    <row r="25" spans="1:11" x14ac:dyDescent="0.25">
      <c r="J25" t="s">
        <v>132</v>
      </c>
      <c r="K25" s="29">
        <f>E11/H15</f>
        <v>8.2669333003608542E-2</v>
      </c>
    </row>
    <row r="26" spans="1:11" ht="18.75" x14ac:dyDescent="0.3">
      <c r="A26" s="1" t="s">
        <v>130</v>
      </c>
      <c r="J26" t="s">
        <v>133</v>
      </c>
      <c r="K26" s="29">
        <f>B15/B23</f>
        <v>7.1626263375095756E-2</v>
      </c>
    </row>
    <row r="27" spans="1:11" x14ac:dyDescent="0.25">
      <c r="J27" t="s">
        <v>137</v>
      </c>
      <c r="K27" s="29">
        <f>H23/H15</f>
        <v>0.7377412023351505</v>
      </c>
    </row>
    <row r="28" spans="1:11" x14ac:dyDescent="0.25">
      <c r="A28" s="36" t="s">
        <v>131</v>
      </c>
      <c r="B28" s="31"/>
      <c r="C28" s="31"/>
      <c r="D28" s="31"/>
      <c r="E28" s="31"/>
      <c r="F28" s="31"/>
      <c r="G28" s="31"/>
      <c r="H28" s="31"/>
      <c r="J28" t="s">
        <v>135</v>
      </c>
      <c r="K28" s="29">
        <v>1</v>
      </c>
    </row>
    <row r="29" spans="1:11" x14ac:dyDescent="0.25">
      <c r="A29" s="31"/>
      <c r="B29" s="31"/>
      <c r="C29" s="31"/>
      <c r="D29" s="31"/>
      <c r="E29" s="31"/>
      <c r="F29" s="31"/>
      <c r="G29" s="31"/>
      <c r="H29" s="31"/>
    </row>
    <row r="30" spans="1:11" x14ac:dyDescent="0.25">
      <c r="A30" s="31"/>
      <c r="B30" s="31"/>
      <c r="C30" s="31"/>
      <c r="D30" s="31"/>
      <c r="E30" s="31"/>
      <c r="F30" s="31"/>
      <c r="G30" s="31"/>
      <c r="H30" s="31"/>
    </row>
  </sheetData>
  <mergeCells count="32">
    <mergeCell ref="G23:G24"/>
    <mergeCell ref="H23:H24"/>
    <mergeCell ref="E19:E20"/>
    <mergeCell ref="B19:B20"/>
    <mergeCell ref="B15:B16"/>
    <mergeCell ref="A23:A24"/>
    <mergeCell ref="B23:B24"/>
    <mergeCell ref="D23:D24"/>
    <mergeCell ref="E23:E24"/>
    <mergeCell ref="D15:D16"/>
    <mergeCell ref="E7:E8"/>
    <mergeCell ref="H15:H16"/>
    <mergeCell ref="A7:A8"/>
    <mergeCell ref="G7:G8"/>
    <mergeCell ref="B11:B12"/>
    <mergeCell ref="D11:D12"/>
    <mergeCell ref="A1:H2"/>
    <mergeCell ref="A19:A20"/>
    <mergeCell ref="A28:H30"/>
    <mergeCell ref="D19:D20"/>
    <mergeCell ref="A15:A16"/>
    <mergeCell ref="B7:B8"/>
    <mergeCell ref="G11:G12"/>
    <mergeCell ref="A11:A12"/>
    <mergeCell ref="H11:H12"/>
    <mergeCell ref="G19:G20"/>
    <mergeCell ref="D7:D8"/>
    <mergeCell ref="E15:E16"/>
    <mergeCell ref="H7:H8"/>
    <mergeCell ref="G15:G16"/>
    <mergeCell ref="E11:E12"/>
    <mergeCell ref="H19:H20"/>
  </mergeCells>
  <pageMargins left="0.75" right="0.75" top="1" bottom="1" header="0.5" footer="0.5"/>
  <pageSetup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Instrucciones</vt:lpstr>
      <vt:lpstr>Parametros</vt:lpstr>
      <vt:lpstr>Catalogo_Productos</vt:lpstr>
      <vt:lpstr>Cotizador</vt:lpstr>
      <vt:lpstr>Resumen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Antonio Lasso</dc:creator>
  <cp:keywords/>
  <dc:description/>
  <cp:lastModifiedBy>Antonio Lasso Valenciano</cp:lastModifiedBy>
  <cp:revision/>
  <dcterms:created xsi:type="dcterms:W3CDTF">2026-09-09T00:23:18Z</dcterms:created>
  <dcterms:modified xsi:type="dcterms:W3CDTF">2026-09-09T17:22:46Z</dcterms:modified>
  <cp:category/>
  <cp:contentStatus/>
</cp:coreProperties>
</file>